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_2\ПОЛИМИКСИНЫ_КОЛИСТИН 1\Технологическая документация\Шаблон для обсчета результатов ИФА-КЛ\"/>
    </mc:Choice>
  </mc:AlternateContent>
  <xr:revisionPtr revIDLastSave="0" documentId="13_ncr:1_{73DA6EE0-3176-4578-9780-903B19AB36DB}" xr6:coauthVersionLast="45" xr6:coauthVersionMax="45" xr10:uidLastSave="{00000000-0000-0000-0000-000000000000}"/>
  <bookViews>
    <workbookView xWindow="7995" yWindow="165" windowWidth="18915" windowHeight="13905" xr2:uid="{E4067E7A-0842-4D03-9CA3-4309EE3551F2}"/>
  </bookViews>
  <sheets>
    <sheet name="Матрицы I-VI 2_2" sheetId="1" r:id="rId1"/>
  </sheets>
  <definedNames>
    <definedName name="_Hlk158296070" localSheetId="0">'Матрицы I-VI 2_2'!$C$27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M39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M52" i="1" s="1"/>
  <c r="L53" i="1"/>
  <c r="L54" i="1"/>
  <c r="M54" i="1" s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33" i="1"/>
  <c r="L32" i="1"/>
  <c r="Y32" i="1"/>
  <c r="N33" i="1"/>
  <c r="P38" i="1" l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5" i="1"/>
  <c r="N67" i="1"/>
  <c r="N69" i="1"/>
  <c r="N71" i="1"/>
  <c r="K34" i="1"/>
  <c r="K36" i="1"/>
  <c r="K38" i="1"/>
  <c r="K40" i="1"/>
  <c r="K42" i="1"/>
  <c r="K44" i="1"/>
  <c r="K46" i="1"/>
  <c r="K48" i="1"/>
  <c r="K50" i="1"/>
  <c r="K52" i="1"/>
  <c r="K54" i="1"/>
  <c r="M55" i="1" s="1"/>
  <c r="P54" i="1" s="1"/>
  <c r="K56" i="1"/>
  <c r="K58" i="1"/>
  <c r="K60" i="1"/>
  <c r="K62" i="1"/>
  <c r="K64" i="1"/>
  <c r="K66" i="1"/>
  <c r="K68" i="1"/>
  <c r="K70" i="1"/>
  <c r="K32" i="1"/>
  <c r="M32" i="1" s="1"/>
  <c r="H32" i="1"/>
  <c r="G32" i="1"/>
  <c r="F10" i="1"/>
  <c r="G33" i="1"/>
  <c r="G34" i="1"/>
  <c r="G35" i="1"/>
  <c r="G36" i="1"/>
  <c r="G37" i="1"/>
  <c r="G71" i="1"/>
  <c r="H70" i="1"/>
  <c r="G70" i="1"/>
  <c r="G69" i="1"/>
  <c r="H68" i="1"/>
  <c r="G68" i="1"/>
  <c r="G67" i="1"/>
  <c r="H66" i="1"/>
  <c r="G66" i="1"/>
  <c r="G65" i="1"/>
  <c r="H64" i="1"/>
  <c r="G64" i="1"/>
  <c r="G63" i="1"/>
  <c r="H62" i="1"/>
  <c r="G62" i="1"/>
  <c r="G61" i="1"/>
  <c r="H60" i="1"/>
  <c r="G60" i="1"/>
  <c r="G59" i="1"/>
  <c r="H58" i="1"/>
  <c r="G58" i="1"/>
  <c r="G57" i="1"/>
  <c r="H56" i="1"/>
  <c r="G56" i="1"/>
  <c r="G55" i="1"/>
  <c r="H54" i="1"/>
  <c r="G54" i="1"/>
  <c r="G53" i="1"/>
  <c r="H52" i="1"/>
  <c r="G52" i="1"/>
  <c r="G51" i="1"/>
  <c r="H50" i="1"/>
  <c r="G50" i="1"/>
  <c r="G49" i="1"/>
  <c r="H48" i="1"/>
  <c r="G48" i="1"/>
  <c r="G47" i="1"/>
  <c r="H46" i="1"/>
  <c r="G46" i="1"/>
  <c r="M46" i="1" s="1"/>
  <c r="G45" i="1"/>
  <c r="H44" i="1"/>
  <c r="G44" i="1"/>
  <c r="G43" i="1"/>
  <c r="H42" i="1"/>
  <c r="G42" i="1"/>
  <c r="G41" i="1"/>
  <c r="H40" i="1"/>
  <c r="G40" i="1"/>
  <c r="G39" i="1"/>
  <c r="H38" i="1"/>
  <c r="G38" i="1"/>
  <c r="H37" i="1"/>
  <c r="H36" i="1"/>
  <c r="H34" i="1"/>
  <c r="I15" i="1"/>
  <c r="G15" i="1"/>
  <c r="F15" i="1"/>
  <c r="I14" i="1"/>
  <c r="G14" i="1"/>
  <c r="F14" i="1"/>
  <c r="I13" i="1"/>
  <c r="G13" i="1"/>
  <c r="F13" i="1"/>
  <c r="I12" i="1"/>
  <c r="G12" i="1"/>
  <c r="F12" i="1"/>
  <c r="I11" i="1"/>
  <c r="G11" i="1"/>
  <c r="F11" i="1"/>
  <c r="G10" i="1"/>
  <c r="M69" i="1" l="1"/>
  <c r="M68" i="1"/>
  <c r="P68" i="1" s="1"/>
  <c r="M66" i="1"/>
  <c r="M67" i="1"/>
  <c r="M65" i="1"/>
  <c r="M64" i="1"/>
  <c r="P64" i="1" s="1"/>
  <c r="M62" i="1"/>
  <c r="M63" i="1"/>
  <c r="M61" i="1"/>
  <c r="M60" i="1"/>
  <c r="P60" i="1" s="1"/>
  <c r="M57" i="1"/>
  <c r="M56" i="1"/>
  <c r="P56" i="1" s="1"/>
  <c r="M48" i="1"/>
  <c r="M49" i="1"/>
  <c r="M44" i="1"/>
  <c r="M45" i="1"/>
  <c r="M43" i="1"/>
  <c r="M42" i="1"/>
  <c r="P42" i="1" s="1"/>
  <c r="M40" i="1"/>
  <c r="M41" i="1"/>
  <c r="M35" i="1"/>
  <c r="M53" i="1"/>
  <c r="P52" i="1" s="1"/>
  <c r="M51" i="1"/>
  <c r="M50" i="1"/>
  <c r="H33" i="1"/>
  <c r="H41" i="1"/>
  <c r="H45" i="1"/>
  <c r="H49" i="1"/>
  <c r="H57" i="1"/>
  <c r="H61" i="1"/>
  <c r="H65" i="1"/>
  <c r="H69" i="1"/>
  <c r="H53" i="1"/>
  <c r="D23" i="1"/>
  <c r="D22" i="1"/>
  <c r="D24" i="1"/>
  <c r="E20" i="1"/>
  <c r="E21" i="1"/>
  <c r="E22" i="1"/>
  <c r="E23" i="1"/>
  <c r="E24" i="1"/>
  <c r="D21" i="1"/>
  <c r="D20" i="1"/>
  <c r="C20" i="1"/>
  <c r="C21" i="1"/>
  <c r="C22" i="1"/>
  <c r="C23" i="1"/>
  <c r="C24" i="1"/>
  <c r="F24" i="1" s="1"/>
  <c r="H35" i="1"/>
  <c r="H71" i="1"/>
  <c r="H39" i="1"/>
  <c r="H43" i="1"/>
  <c r="H47" i="1"/>
  <c r="H51" i="1"/>
  <c r="H55" i="1"/>
  <c r="H59" i="1"/>
  <c r="H63" i="1"/>
  <c r="H67" i="1"/>
  <c r="P40" i="1" l="1"/>
  <c r="P44" i="1"/>
  <c r="P48" i="1"/>
  <c r="P66" i="1"/>
  <c r="P62" i="1"/>
  <c r="P50" i="1"/>
  <c r="I71" i="1"/>
  <c r="M71" i="1" s="1"/>
  <c r="I68" i="1"/>
  <c r="I69" i="1"/>
  <c r="I70" i="1"/>
  <c r="M70" i="1" s="1"/>
  <c r="I32" i="1"/>
  <c r="I63" i="1"/>
  <c r="I38" i="1"/>
  <c r="I36" i="1"/>
  <c r="M36" i="1" s="1"/>
  <c r="I48" i="1"/>
  <c r="I60" i="1"/>
  <c r="I40" i="1"/>
  <c r="I64" i="1"/>
  <c r="I45" i="1"/>
  <c r="I53" i="1"/>
  <c r="I61" i="1"/>
  <c r="I34" i="1"/>
  <c r="M34" i="1" s="1"/>
  <c r="P34" i="1" s="1"/>
  <c r="I42" i="1"/>
  <c r="I50" i="1"/>
  <c r="I58" i="1"/>
  <c r="M58" i="1" s="1"/>
  <c r="I66" i="1"/>
  <c r="I55" i="1"/>
  <c r="I47" i="1"/>
  <c r="M47" i="1" s="1"/>
  <c r="P46" i="1" s="1"/>
  <c r="I39" i="1"/>
  <c r="I35" i="1"/>
  <c r="I44" i="1"/>
  <c r="I52" i="1"/>
  <c r="I56" i="1"/>
  <c r="I41" i="1"/>
  <c r="I49" i="1"/>
  <c r="I57" i="1"/>
  <c r="I65" i="1"/>
  <c r="I46" i="1"/>
  <c r="I54" i="1"/>
  <c r="I62" i="1"/>
  <c r="I67" i="1"/>
  <c r="I59" i="1"/>
  <c r="M59" i="1" s="1"/>
  <c r="I51" i="1"/>
  <c r="I43" i="1"/>
  <c r="I33" i="1"/>
  <c r="M33" i="1" s="1"/>
  <c r="P32" i="1" s="1"/>
  <c r="I37" i="1"/>
  <c r="M37" i="1" s="1"/>
  <c r="F23" i="1"/>
  <c r="F21" i="1"/>
  <c r="F22" i="1"/>
  <c r="D17" i="1" s="1"/>
  <c r="F20" i="1"/>
  <c r="P70" i="1" l="1"/>
  <c r="P58" i="1"/>
  <c r="Q58" i="1" s="1"/>
  <c r="P36" i="1"/>
  <c r="Q36" i="1" s="1"/>
  <c r="Q62" i="1"/>
  <c r="Q46" i="1"/>
  <c r="Q56" i="1"/>
  <c r="Q40" i="1"/>
  <c r="Q52" i="1"/>
  <c r="Q32" i="1"/>
  <c r="Q50" i="1"/>
  <c r="N54" i="1"/>
  <c r="Q54" i="1"/>
  <c r="Q42" i="1"/>
  <c r="Q60" i="1"/>
  <c r="Q44" i="1"/>
  <c r="Q48" i="1"/>
  <c r="N44" i="1"/>
  <c r="J70" i="1"/>
  <c r="N68" i="1"/>
  <c r="Q64" i="1"/>
  <c r="J68" i="1"/>
  <c r="N66" i="1"/>
  <c r="N50" i="1"/>
  <c r="N64" i="1"/>
  <c r="N60" i="1"/>
  <c r="N36" i="1"/>
  <c r="N58" i="1"/>
  <c r="N42" i="1"/>
  <c r="N48" i="1"/>
  <c r="N38" i="1"/>
  <c r="J32" i="1"/>
  <c r="J54" i="1"/>
  <c r="J56" i="1"/>
  <c r="J44" i="1"/>
  <c r="J58" i="1"/>
  <c r="J42" i="1"/>
  <c r="J40" i="1"/>
  <c r="J48" i="1"/>
  <c r="Q38" i="1"/>
  <c r="J62" i="1"/>
  <c r="J46" i="1"/>
  <c r="J52" i="1"/>
  <c r="J66" i="1"/>
  <c r="Q66" i="1"/>
  <c r="J50" i="1"/>
  <c r="J34" i="1"/>
  <c r="J64" i="1"/>
  <c r="J60" i="1"/>
  <c r="J36" i="1"/>
  <c r="J38" i="1"/>
  <c r="Q34" i="1" l="1"/>
  <c r="N34" i="1"/>
  <c r="O34" i="1" s="1"/>
  <c r="N40" i="1"/>
  <c r="N56" i="1"/>
  <c r="N32" i="1"/>
  <c r="N46" i="1"/>
  <c r="O46" i="1" s="1"/>
  <c r="Q68" i="1"/>
  <c r="O68" i="1"/>
  <c r="Q70" i="1"/>
  <c r="N70" i="1"/>
  <c r="N52" i="1"/>
  <c r="O52" i="1" s="1"/>
  <c r="N62" i="1"/>
  <c r="O62" i="1" s="1"/>
  <c r="O32" i="1"/>
  <c r="O64" i="1"/>
  <c r="O66" i="1"/>
  <c r="O36" i="1"/>
  <c r="O60" i="1"/>
  <c r="O48" i="1"/>
  <c r="O40" i="1"/>
  <c r="O56" i="1"/>
  <c r="O54" i="1"/>
  <c r="O50" i="1"/>
  <c r="O38" i="1"/>
  <c r="O42" i="1"/>
  <c r="O58" i="1"/>
  <c r="O44" i="1"/>
  <c r="O70" i="1" l="1"/>
</calcChain>
</file>

<file path=xl/sharedStrings.xml><?xml version="1.0" encoding="utf-8"?>
<sst xmlns="http://schemas.openxmlformats.org/spreadsheetml/2006/main" count="84" uniqueCount="52">
  <si>
    <t>Раздел I: Градуировочный график</t>
  </si>
  <si>
    <t>Градуировочный раствор</t>
  </si>
  <si>
    <t>К.В.</t>
  </si>
  <si>
    <t>нг/мл</t>
  </si>
  <si>
    <t>Slope</t>
  </si>
  <si>
    <t>Intercept</t>
  </si>
  <si>
    <t>R^2</t>
  </si>
  <si>
    <t>50% ингибирование</t>
  </si>
  <si>
    <t>Для всей кривой</t>
  </si>
  <si>
    <r>
      <t>B</t>
    </r>
    <r>
      <rPr>
        <b/>
        <vertAlign val="subscript"/>
        <sz val="11"/>
        <color indexed="8"/>
        <rFont val="Arial"/>
        <family val="2"/>
        <charset val="204"/>
      </rPr>
      <t>1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2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</si>
  <si>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</si>
  <si>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3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4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</si>
  <si>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4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</si>
  <si>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t>№</t>
  </si>
  <si>
    <t>Наименование образца</t>
  </si>
  <si>
    <t>Фактор разведения</t>
  </si>
  <si>
    <t>Исполнитель</t>
  </si>
  <si>
    <t>Дата:</t>
  </si>
  <si>
    <t>№ партии</t>
  </si>
  <si>
    <t>Группа прдуктов</t>
  </si>
  <si>
    <t>Матрица 2</t>
  </si>
  <si>
    <t>Матрица 1</t>
  </si>
  <si>
    <t>Матрица 3</t>
  </si>
  <si>
    <t>Матрица 4</t>
  </si>
  <si>
    <t>Матрица 5</t>
  </si>
  <si>
    <t>F</t>
  </si>
  <si>
    <t>r</t>
  </si>
  <si>
    <t>U</t>
  </si>
  <si>
    <t>Оценка приемлемости в условиях повторяемости (раздел 12 
АМИ.МН 0162-2024)</t>
  </si>
  <si>
    <r>
      <t>Оптическая плотность B</t>
    </r>
    <r>
      <rPr>
        <b/>
        <vertAlign val="subscript"/>
        <sz val="11"/>
        <rFont val="Arial"/>
        <family val="2"/>
        <charset val="204"/>
      </rPr>
      <t>i</t>
    </r>
  </si>
  <si>
    <r>
      <t>B</t>
    </r>
    <r>
      <rPr>
        <b/>
        <vertAlign val="subscript"/>
        <sz val="11"/>
        <rFont val="Arial"/>
        <family val="2"/>
        <charset val="204"/>
      </rPr>
      <t>i</t>
    </r>
    <r>
      <rPr>
        <b/>
        <sz val="11"/>
        <rFont val="Arial"/>
        <family val="2"/>
        <charset val="204"/>
      </rPr>
      <t>/B</t>
    </r>
    <r>
      <rPr>
        <b/>
        <vertAlign val="subscript"/>
        <sz val="11"/>
        <rFont val="Arial"/>
        <family val="2"/>
        <charset val="204"/>
      </rPr>
      <t>0</t>
    </r>
  </si>
  <si>
    <r>
      <t>lnC</t>
    </r>
    <r>
      <rPr>
        <b/>
        <vertAlign val="subscript"/>
        <sz val="11"/>
        <rFont val="Arial"/>
        <family val="2"/>
        <charset val="204"/>
      </rPr>
      <t>i</t>
    </r>
  </si>
  <si>
    <r>
      <t>С</t>
    </r>
    <r>
      <rPr>
        <b/>
        <vertAlign val="subscript"/>
        <sz val="11"/>
        <rFont val="Arial"/>
        <family val="2"/>
        <charset val="204"/>
      </rPr>
      <t>0</t>
    </r>
  </si>
  <si>
    <r>
      <t>С</t>
    </r>
    <r>
      <rPr>
        <b/>
        <vertAlign val="subscript"/>
        <sz val="11"/>
        <rFont val="Arial"/>
        <family val="2"/>
        <charset val="204"/>
      </rPr>
      <t>1</t>
    </r>
  </si>
  <si>
    <r>
      <t>С</t>
    </r>
    <r>
      <rPr>
        <b/>
        <vertAlign val="subscript"/>
        <sz val="11"/>
        <rFont val="Arial"/>
        <family val="2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</si>
  <si>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1"/>
        <rFont val="Arial"/>
        <family val="2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</si>
  <si>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1"/>
        <rFont val="Arial"/>
        <family val="2"/>
        <charset val="204"/>
      </rPr>
      <t>4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</si>
  <si>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1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</si>
  <si>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r>
      <t>Оптическая плотность B</t>
    </r>
    <r>
      <rPr>
        <b/>
        <vertAlign val="subscript"/>
        <sz val="11"/>
        <rFont val="Arial"/>
        <family val="2"/>
        <charset val="204"/>
      </rPr>
      <t>х</t>
    </r>
  </si>
  <si>
    <r>
      <t>B</t>
    </r>
    <r>
      <rPr>
        <b/>
        <vertAlign val="subscript"/>
        <sz val="11"/>
        <rFont val="Arial"/>
        <family val="2"/>
        <charset val="204"/>
      </rPr>
      <t>х</t>
    </r>
    <r>
      <rPr>
        <b/>
        <sz val="11"/>
        <rFont val="Arial"/>
        <family val="2"/>
        <charset val="204"/>
      </rPr>
      <t>/B</t>
    </r>
    <r>
      <rPr>
        <b/>
        <vertAlign val="subscript"/>
        <sz val="11"/>
        <rFont val="Arial"/>
        <family val="2"/>
        <charset val="204"/>
      </rPr>
      <t>0</t>
    </r>
  </si>
  <si>
    <r>
      <t>C</t>
    </r>
    <r>
      <rPr>
        <b/>
        <vertAlign val="subscript"/>
        <sz val="11"/>
        <rFont val="Arial"/>
        <family val="2"/>
        <charset val="204"/>
      </rPr>
      <t>х</t>
    </r>
    <r>
      <rPr>
        <b/>
        <sz val="11"/>
        <rFont val="Arial"/>
        <family val="2"/>
        <charset val="204"/>
      </rPr>
      <t>, нг/мл</t>
    </r>
  </si>
  <si>
    <r>
      <t>C</t>
    </r>
    <r>
      <rPr>
        <b/>
        <vertAlign val="subscript"/>
        <sz val="11"/>
        <rFont val="Arial"/>
        <family val="2"/>
        <charset val="204"/>
      </rPr>
      <t>х</t>
    </r>
    <r>
      <rPr>
        <b/>
        <sz val="11"/>
        <rFont val="Arial"/>
        <family val="2"/>
        <charset val="204"/>
      </rPr>
      <t>, мкг/кг</t>
    </r>
  </si>
  <si>
    <r>
      <t xml:space="preserve"> _                  </t>
    </r>
    <r>
      <rPr>
        <b/>
        <sz val="11"/>
        <color indexed="9"/>
        <rFont val="Arial"/>
        <family val="2"/>
        <charset val="204"/>
      </rPr>
      <t xml:space="preserve">  .</t>
    </r>
    <r>
      <rPr>
        <b/>
        <sz val="11"/>
        <rFont val="Arial"/>
        <family val="2"/>
        <charset val="204"/>
      </rPr>
      <t xml:space="preserve">
C</t>
    </r>
    <r>
      <rPr>
        <b/>
        <vertAlign val="subscript"/>
        <sz val="11"/>
        <rFont val="Arial"/>
        <family val="2"/>
        <charset val="204"/>
      </rPr>
      <t xml:space="preserve">х </t>
    </r>
    <r>
      <rPr>
        <b/>
        <sz val="11"/>
        <rFont val="Arial"/>
        <family val="2"/>
        <charset val="204"/>
      </rPr>
      <t>± U, мкг/кг</t>
    </r>
  </si>
  <si>
    <r>
      <t xml:space="preserve">
 _            </t>
    </r>
    <r>
      <rPr>
        <b/>
        <sz val="11"/>
        <color indexed="9"/>
        <rFont val="Arial"/>
        <family val="2"/>
        <charset val="204"/>
      </rPr>
      <t xml:space="preserve">  .</t>
    </r>
    <r>
      <rPr>
        <b/>
        <sz val="11"/>
        <rFont val="Arial"/>
        <family val="2"/>
        <charset val="204"/>
      </rPr>
      <t xml:space="preserve">
C</t>
    </r>
    <r>
      <rPr>
        <b/>
        <vertAlign val="subscript"/>
        <sz val="11"/>
        <rFont val="Arial"/>
        <family val="2"/>
        <charset val="204"/>
      </rPr>
      <t>х</t>
    </r>
    <r>
      <rPr>
        <b/>
        <sz val="11"/>
        <rFont val="Arial"/>
        <family val="2"/>
        <charset val="204"/>
      </rPr>
      <t>, нг/мл</t>
    </r>
  </si>
  <si>
    <t>Молочные продукты и составные молочные продукты плотной консистенции, мороженое на молочной основе, концентрированное и сгущенное молоко, яйца и яйцепродукты, пчелиный мед</t>
  </si>
  <si>
    <t>Животные жиры и пищевая продукция их содержащая</t>
  </si>
  <si>
    <t>Комбикорма и кормовые добавки</t>
  </si>
  <si>
    <r>
      <t>Молоко, жидкие и восстановленные сухие молочные и составные молочные продукты, побочные продукты переработки молока,</t>
    </r>
    <r>
      <rPr>
        <sz val="11"/>
        <color theme="1"/>
        <rFont val="Arial"/>
        <family val="2"/>
        <charset val="204"/>
      </rPr>
      <t xml:space="preserve"> продукция детского питания на молочной основе и молочные смеси</t>
    </r>
  </si>
  <si>
    <t xml:space="preserve">Тест-система "ПРОДОСКРИН® ИФА-Колистин" 
Определение колистина по АМИ.МН 0162-2024                                                                                                                                               </t>
  </si>
  <si>
    <t>Предел</t>
  </si>
  <si>
    <t>Мясо, печень, почки продуктивных животных, объекты аквакультуры животного происхождения и пищевая продукция их содержащая</t>
  </si>
  <si>
    <r>
      <t>Интерсепт 50% (IC</t>
    </r>
    <r>
      <rPr>
        <b/>
        <vertAlign val="subscript"/>
        <sz val="11"/>
        <color theme="0"/>
        <rFont val="Arial"/>
        <family val="2"/>
        <charset val="204"/>
      </rPr>
      <t>50</t>
    </r>
    <r>
      <rPr>
        <b/>
        <sz val="11"/>
        <color theme="0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</si>
</sst>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\±0.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rgb="FF0070C0"/>
      <name val="Arial"/>
      <family val="2"/>
      <charset val="204"/>
    </font>
    <font>
      <b/>
      <vertAlign val="subscript"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vertAlign val="subscript"/>
      <sz val="11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164" fontId="2" fillId="0" borderId="9" xfId="0" applyNumberFormat="1" applyFont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/>
    <xf numFmtId="164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hidden="1"/>
    </xf>
    <xf numFmtId="164" fontId="2" fillId="0" borderId="0" xfId="0" applyNumberFormat="1" applyFont="1" applyBorder="1" applyAlignment="1" applyProtection="1">
      <alignment horizontal="left" vertical="center"/>
      <protection hidden="1"/>
    </xf>
    <xf numFmtId="165" fontId="1" fillId="0" borderId="0" xfId="0" applyNumberFormat="1" applyFont="1" applyBorder="1" applyAlignment="1" applyProtection="1">
      <alignment horizontal="center" vertical="center"/>
      <protection hidden="1"/>
    </xf>
    <xf numFmtId="10" fontId="1" fillId="0" borderId="0" xfId="0" applyNumberFormat="1" applyFont="1" applyBorder="1" applyAlignment="1" applyProtection="1">
      <alignment horizontal="center" vertical="center"/>
      <protection hidden="1"/>
    </xf>
    <xf numFmtId="2" fontId="1" fillId="0" borderId="0" xfId="0" applyNumberFormat="1" applyFont="1" applyBorder="1" applyAlignment="1" applyProtection="1">
      <alignment horizontal="center" vertical="center"/>
      <protection hidden="1"/>
    </xf>
    <xf numFmtId="2" fontId="1" fillId="2" borderId="10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protection locked="0"/>
    </xf>
    <xf numFmtId="14" fontId="1" fillId="0" borderId="0" xfId="0" applyNumberFormat="1" applyFont="1"/>
    <xf numFmtId="0" fontId="1" fillId="0" borderId="0" xfId="0" applyFont="1" applyBorder="1"/>
    <xf numFmtId="0" fontId="1" fillId="3" borderId="1" xfId="0" applyFont="1" applyFill="1" applyBorder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2" fontId="1" fillId="0" borderId="0" xfId="0" applyNumberFormat="1" applyFont="1" applyBorder="1"/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164" fontId="12" fillId="0" borderId="0" xfId="1" applyNumberFormat="1" applyFont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vertical="center"/>
      <protection hidden="1"/>
    </xf>
    <xf numFmtId="164" fontId="2" fillId="0" borderId="4" xfId="0" applyNumberFormat="1" applyFont="1" applyBorder="1" applyAlignment="1" applyProtection="1">
      <alignment horizontal="left" vertical="center"/>
      <protection hidden="1"/>
    </xf>
    <xf numFmtId="164" fontId="2" fillId="0" borderId="6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166" fontId="1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right" vertical="center"/>
      <protection hidden="1"/>
    </xf>
    <xf numFmtId="2" fontId="2" fillId="0" borderId="2" xfId="0" applyNumberFormat="1" applyFont="1" applyBorder="1" applyAlignment="1" applyProtection="1">
      <alignment horizontal="right" vertical="center"/>
      <protection hidden="1"/>
    </xf>
    <xf numFmtId="2" fontId="4" fillId="0" borderId="7" xfId="0" applyNumberFormat="1" applyFont="1" applyBorder="1"/>
    <xf numFmtId="2" fontId="4" fillId="0" borderId="5" xfId="0" applyNumberFormat="1" applyFont="1" applyBorder="1"/>
    <xf numFmtId="0" fontId="1" fillId="3" borderId="9" xfId="0" applyFont="1" applyFill="1" applyBorder="1"/>
    <xf numFmtId="0" fontId="1" fillId="0" borderId="10" xfId="0" applyFont="1" applyBorder="1" applyAlignment="1" applyProtection="1">
      <alignment horizontal="center" vertical="center"/>
      <protection locked="0"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3" borderId="9" xfId="0" applyNumberFormat="1" applyFont="1" applyFill="1" applyBorder="1"/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horizontal="right" vertical="center"/>
      <protection hidden="1"/>
    </xf>
    <xf numFmtId="2" fontId="14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locked="0" hidden="1"/>
    </xf>
    <xf numFmtId="0" fontId="1" fillId="3" borderId="3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5" xfId="0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3" borderId="6" xfId="0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" fillId="0" borderId="11" xfId="0" applyNumberFormat="1" applyFont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locked="0" hidden="1"/>
    </xf>
    <xf numFmtId="0" fontId="1" fillId="3" borderId="11" xfId="0" applyFont="1" applyFill="1" applyBorder="1" applyAlignment="1" applyProtection="1">
      <alignment horizontal="center" vertical="center" wrapText="1"/>
      <protection locked="0" hidden="1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8" xfId="0" applyNumberFormat="1" applyFont="1" applyFill="1" applyBorder="1" applyAlignment="1" applyProtection="1">
      <alignment horizontal="left"/>
      <protection locked="0"/>
    </xf>
    <xf numFmtId="49" fontId="1" fillId="3" borderId="9" xfId="0" applyNumberFormat="1" applyFont="1" applyFill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2" fontId="12" fillId="0" borderId="10" xfId="0" applyNumberFormat="1" applyFont="1" applyBorder="1" applyAlignment="1" applyProtection="1">
      <alignment horizontal="center" vertical="center"/>
      <protection hidden="1"/>
    </xf>
    <xf numFmtId="2" fontId="12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2" fontId="1" fillId="0" borderId="2" xfId="0" applyNumberFormat="1" applyFont="1" applyBorder="1" applyAlignment="1" applyProtection="1">
      <alignment horizontal="right" vertical="center"/>
      <protection hidden="1"/>
    </xf>
    <xf numFmtId="2" fontId="1" fillId="0" borderId="13" xfId="0" applyNumberFormat="1" applyFont="1" applyBorder="1" applyAlignment="1" applyProtection="1">
      <alignment horizontal="right" vertical="center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166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2" fontId="1" fillId="2" borderId="2" xfId="0" applyNumberFormat="1" applyFont="1" applyFill="1" applyBorder="1" applyAlignment="1" applyProtection="1">
      <alignment horizontal="center" vertical="center"/>
      <protection hidden="1"/>
    </xf>
    <xf numFmtId="2" fontId="1" fillId="2" borderId="5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10" fontId="1" fillId="2" borderId="11" xfId="0" applyNumberFormat="1" applyFont="1" applyFill="1" applyBorder="1" applyAlignment="1" applyProtection="1">
      <alignment horizontal="center" vertical="center"/>
      <protection hidden="1"/>
    </xf>
    <xf numFmtId="2" fontId="1" fillId="0" borderId="5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3" fillId="0" borderId="0" xfId="0" applyFont="1" applyAlignment="1">
      <alignment horizontal="left" wrapText="1"/>
    </xf>
  </cellXfs>
  <cellStyles count="2">
    <cellStyle name="Обычный" xfId="0" builtinId="0"/>
    <cellStyle name="Обычный 2" xfId="1" xr:uid="{05C5885E-C6CE-431B-B6A9-3F4FCBE65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105335257176"/>
          <c:y val="3.5349730916984005E-2"/>
          <c:w val="0.73252348637291564"/>
          <c:h val="0.83004036358480815"/>
        </c:manualLayout>
      </c:layout>
      <c:scatterChart>
        <c:scatterStyle val="smoothMarker"/>
        <c:varyColors val="0"/>
        <c:ser>
          <c:idx val="1"/>
          <c:order val="0"/>
          <c:spPr>
            <a:ln w="952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'Матрицы I-VI 2_2'!$B$11:$B$15</c:f>
              <c:numCache>
                <c:formatCode>0.00</c:formatCode>
                <c:ptCount val="5"/>
                <c:pt idx="0">
                  <c:v>0.1</c:v>
                </c:pt>
                <c:pt idx="1">
                  <c:v>0.25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</c:numCache>
            </c:numRef>
          </c:xVal>
          <c:yVal>
            <c:numRef>
              <c:f>'Матрицы I-VI 2_2'!$F$11:$F$15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06-4A46-8966-56BE1644BFA6}"/>
            </c:ext>
          </c:extLst>
        </c:ser>
        <c:ser>
          <c:idx val="0"/>
          <c:order val="1"/>
          <c:xVal>
            <c:numRef>
              <c:f>'Матрицы I-VI 2_2'!$P$7:$P$13</c:f>
              <c:numCache>
                <c:formatCode>General</c:formatCode>
                <c:ptCount val="7"/>
              </c:numCache>
            </c:numRef>
          </c:xVal>
          <c:yVal>
            <c:numRef>
              <c:f>'Матрицы I-VI 2_2'!#REF!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'Матрицы I-VI 2_2'!#REF!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806-4A46-8966-56BE1644B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71232"/>
        <c:axId val="70678400"/>
      </c:scatterChart>
      <c:valAx>
        <c:axId val="67471232"/>
        <c:scaling>
          <c:logBase val="10"/>
          <c:orientation val="minMax"/>
          <c:max val="10"/>
          <c:min val="0.0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ru-RU" b="1"/>
                  <a:t>Колистин</a:t>
                </a:r>
                <a:r>
                  <a:rPr lang="ru-RU" b="1" baseline="0"/>
                  <a:t>, нг/мл</a:t>
                </a:r>
                <a:endParaRPr lang="ru-RU" b="1"/>
              </a:p>
            </c:rich>
          </c:tx>
          <c:layout>
            <c:manualLayout>
              <c:xMode val="edge"/>
              <c:yMode val="edge"/>
              <c:x val="0.76691476442115569"/>
              <c:y val="0.937454000068173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0678400"/>
        <c:crosses val="autoZero"/>
        <c:crossBetween val="midCat"/>
        <c:majorUnit val="10"/>
      </c:valAx>
      <c:valAx>
        <c:axId val="70678400"/>
        <c:scaling>
          <c:orientation val="minMax"/>
          <c:max val="1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B</a:t>
                </a:r>
                <a:r>
                  <a:rPr lang="en-US" b="1" baseline="-25000"/>
                  <a:t>i</a:t>
                </a:r>
                <a:r>
                  <a:rPr lang="en-US" b="1"/>
                  <a:t>/B</a:t>
                </a:r>
                <a:r>
                  <a:rPr lang="en-US" b="1" baseline="-25000"/>
                  <a:t>0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6518940518431606E-2"/>
              <c:y val="0.391727164135442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ru-RU"/>
          </a:p>
        </c:txPr>
        <c:crossAx val="67471232"/>
        <c:crossesAt val="0.01"/>
        <c:crossBetween val="midCat"/>
        <c:majorUnit val="0.2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280469</xdr:colOff>
      <xdr:row>0</xdr:row>
      <xdr:rowOff>126208</xdr:rowOff>
    </xdr:from>
    <xdr:to>
      <xdr:col>14</xdr:col>
      <xdr:colOff>371474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AF5BE-497F-4C35-9E30-B598E64A3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12A1-50C7-4816-AFD9-07D24F58EBE5}">
  <sheetPr>
    <pageSetUpPr fitToPage="1"/>
  </sheetPr>
  <dimension ref="A1:Y92"/>
  <sheetViews>
    <sheetView tabSelected="1" zoomScale="80" zoomScaleNormal="80" zoomScaleSheetLayoutView="90" workbookViewId="0">
      <selection activeCell="D10" sqref="D10:E15"/>
    </sheetView>
  </sheetViews>
  <sheetFormatPr defaultRowHeight="15" x14ac:dyDescent="0.25"/>
  <cols>
    <col min="1" max="1" width="4.7109375" style="2" customWidth="1"/>
    <col min="2" max="2" width="13.28515625" style="2" customWidth="1"/>
    <col min="3" max="3" width="12.28515625" style="2" customWidth="1"/>
    <col min="4" max="5" width="15.140625" style="2" customWidth="1"/>
    <col min="6" max="6" width="16.140625" style="2" customWidth="1"/>
    <col min="7" max="10" width="14.28515625" style="2" customWidth="1"/>
    <col min="11" max="11" width="14.42578125" style="2" customWidth="1"/>
    <col min="12" max="12" width="14.42578125" style="2" hidden="1" customWidth="1"/>
    <col min="13" max="13" width="14.42578125" style="2" customWidth="1"/>
    <col min="14" max="14" width="7.85546875" style="2" hidden="1" customWidth="1"/>
    <col min="15" max="15" width="32.140625" style="2" customWidth="1"/>
    <col min="16" max="16" width="13.7109375" style="2" customWidth="1"/>
    <col min="17" max="17" width="11.85546875" style="2" customWidth="1"/>
    <col min="18" max="18" width="9.140625" style="2"/>
    <col min="19" max="19" width="9.140625" style="2" customWidth="1"/>
    <col min="20" max="20" width="15.7109375" style="2" customWidth="1"/>
    <col min="21" max="23" width="9.140625" style="2" customWidth="1"/>
  </cols>
  <sheetData>
    <row r="1" spans="1:24" ht="35.25" customHeight="1" x14ac:dyDescent="0.25">
      <c r="B1" s="93" t="s">
        <v>48</v>
      </c>
      <c r="C1" s="93"/>
      <c r="D1" s="93"/>
      <c r="E1" s="93"/>
      <c r="F1" s="93"/>
      <c r="G1" s="93"/>
    </row>
    <row r="2" spans="1:24" ht="15.75" customHeight="1" x14ac:dyDescent="0.25">
      <c r="A2" s="30"/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</row>
    <row r="3" spans="1:24" ht="15" customHeight="1" x14ac:dyDescent="0.25">
      <c r="A3" s="94" t="s">
        <v>16</v>
      </c>
      <c r="B3" s="95"/>
      <c r="C3" s="73"/>
      <c r="D3" s="74"/>
      <c r="E3" s="74"/>
      <c r="F3" s="74"/>
      <c r="G3" s="75"/>
      <c r="H3" s="23"/>
      <c r="I3" s="1"/>
      <c r="J3" s="1"/>
      <c r="K3" s="1"/>
      <c r="L3" s="1"/>
      <c r="M3" s="1"/>
      <c r="N3" s="1"/>
      <c r="O3" s="1"/>
      <c r="U3" s="2" t="s">
        <v>25</v>
      </c>
      <c r="V3" s="2" t="s">
        <v>26</v>
      </c>
      <c r="W3" s="2" t="s">
        <v>27</v>
      </c>
      <c r="X3" s="2" t="s">
        <v>49</v>
      </c>
    </row>
    <row r="4" spans="1:24" ht="19.5" customHeight="1" x14ac:dyDescent="0.25">
      <c r="A4" s="94" t="s">
        <v>17</v>
      </c>
      <c r="B4" s="95"/>
      <c r="C4" s="73"/>
      <c r="D4" s="74"/>
      <c r="E4" s="74"/>
      <c r="F4" s="74"/>
      <c r="G4" s="75"/>
      <c r="H4" s="23"/>
      <c r="O4" s="1"/>
      <c r="P4" s="24"/>
      <c r="S4" s="2">
        <v>1</v>
      </c>
      <c r="T4" s="2" t="s">
        <v>21</v>
      </c>
      <c r="U4" s="2">
        <v>100</v>
      </c>
      <c r="V4" s="2">
        <v>24</v>
      </c>
      <c r="W4" s="2">
        <v>24</v>
      </c>
      <c r="X4" s="2">
        <v>10</v>
      </c>
    </row>
    <row r="5" spans="1:24" ht="15" customHeight="1" x14ac:dyDescent="0.25">
      <c r="A5" s="94" t="s">
        <v>18</v>
      </c>
      <c r="B5" s="95"/>
      <c r="C5" s="73"/>
      <c r="D5" s="74"/>
      <c r="E5" s="74"/>
      <c r="F5" s="74"/>
      <c r="G5" s="75"/>
      <c r="H5" s="23"/>
      <c r="O5" s="1"/>
      <c r="S5" s="2">
        <v>2</v>
      </c>
      <c r="T5" s="2" t="s">
        <v>20</v>
      </c>
      <c r="U5" s="2">
        <v>21.25</v>
      </c>
      <c r="V5" s="2">
        <v>19</v>
      </c>
      <c r="W5" s="2">
        <v>24</v>
      </c>
      <c r="X5" s="2">
        <v>2.5</v>
      </c>
    </row>
    <row r="6" spans="1:24" ht="15" customHeight="1" x14ac:dyDescent="0.25">
      <c r="A6" s="95"/>
      <c r="B6" s="95"/>
      <c r="C6" s="73"/>
      <c r="D6" s="74"/>
      <c r="E6" s="74"/>
      <c r="F6" s="74"/>
      <c r="G6" s="75"/>
      <c r="H6" s="23"/>
      <c r="O6" s="1"/>
      <c r="S6" s="2">
        <v>3</v>
      </c>
      <c r="T6" s="2" t="s">
        <v>22</v>
      </c>
      <c r="U6" s="2">
        <v>100</v>
      </c>
      <c r="V6" s="2">
        <v>21</v>
      </c>
      <c r="W6" s="2">
        <v>24</v>
      </c>
      <c r="X6" s="2">
        <v>10</v>
      </c>
    </row>
    <row r="7" spans="1:24" ht="15" customHeight="1" x14ac:dyDescent="0.25">
      <c r="A7" s="30"/>
      <c r="B7" s="30"/>
      <c r="C7" s="30"/>
      <c r="D7" s="30"/>
      <c r="E7" s="30"/>
      <c r="F7" s="30"/>
      <c r="G7" s="30"/>
      <c r="H7" s="30"/>
      <c r="O7" s="1"/>
      <c r="P7" s="6"/>
      <c r="Q7" s="6"/>
      <c r="R7" s="6"/>
      <c r="S7" s="6">
        <v>4</v>
      </c>
      <c r="T7" s="2" t="s">
        <v>23</v>
      </c>
      <c r="U7" s="2">
        <v>85</v>
      </c>
      <c r="V7" s="2">
        <v>22</v>
      </c>
      <c r="W7" s="2">
        <v>24</v>
      </c>
      <c r="X7" s="2">
        <v>10</v>
      </c>
    </row>
    <row r="8" spans="1:24" ht="15" customHeight="1" x14ac:dyDescent="0.25">
      <c r="A8" s="30" t="s">
        <v>0</v>
      </c>
      <c r="B8" s="30"/>
      <c r="C8" s="31"/>
      <c r="D8" s="31"/>
      <c r="E8" s="31"/>
      <c r="F8" s="31"/>
      <c r="G8" s="31"/>
      <c r="H8" s="31"/>
      <c r="I8" s="1"/>
      <c r="J8" s="1"/>
      <c r="K8" s="1"/>
      <c r="L8" s="1"/>
      <c r="M8" s="1"/>
      <c r="N8" s="1"/>
      <c r="O8" s="1"/>
      <c r="P8" s="6"/>
      <c r="Q8" s="6"/>
      <c r="R8" s="6"/>
      <c r="S8" s="6">
        <v>5</v>
      </c>
      <c r="T8" s="2" t="s">
        <v>24</v>
      </c>
      <c r="U8" s="2">
        <v>200</v>
      </c>
      <c r="V8" s="2">
        <v>21</v>
      </c>
      <c r="W8" s="2">
        <v>28</v>
      </c>
      <c r="X8" s="2">
        <v>20</v>
      </c>
    </row>
    <row r="9" spans="1:24" ht="16.5" x14ac:dyDescent="0.25">
      <c r="A9" s="64" t="s">
        <v>1</v>
      </c>
      <c r="B9" s="65"/>
      <c r="C9" s="65"/>
      <c r="D9" s="66" t="s">
        <v>29</v>
      </c>
      <c r="E9" s="67"/>
      <c r="F9" s="32" t="s">
        <v>30</v>
      </c>
      <c r="G9" s="32" t="s">
        <v>2</v>
      </c>
      <c r="I9" s="32" t="s">
        <v>31</v>
      </c>
      <c r="P9" s="6"/>
      <c r="Q9" s="6"/>
      <c r="R9" s="6"/>
      <c r="S9" s="6"/>
    </row>
    <row r="10" spans="1:24" ht="16.5" x14ac:dyDescent="0.25">
      <c r="A10" s="41" t="s">
        <v>32</v>
      </c>
      <c r="B10" s="46">
        <v>0</v>
      </c>
      <c r="C10" s="3" t="s">
        <v>3</v>
      </c>
      <c r="D10" s="50"/>
      <c r="E10" s="26"/>
      <c r="F10" s="4" t="str">
        <f>IF(OR(D10="",E10=""),"",AVERAGE(D10:E10)/AVERAGE($D$10:$E$10))</f>
        <v/>
      </c>
      <c r="G10" s="5" t="str">
        <f t="shared" ref="G10:G15" si="0">IF(OR(D10="",E10=""),"",IF(D10=E10,"0,00%",STDEV(D10:E10)/AVERAGE(D10:E10)))</f>
        <v/>
      </c>
      <c r="H10" s="6"/>
      <c r="I10" s="7"/>
      <c r="P10" s="6"/>
      <c r="Q10" s="6"/>
      <c r="R10" s="6"/>
      <c r="S10" s="6"/>
    </row>
    <row r="11" spans="1:24" ht="16.5" x14ac:dyDescent="0.25">
      <c r="A11" s="41" t="s">
        <v>33</v>
      </c>
      <c r="B11" s="47">
        <v>0.1</v>
      </c>
      <c r="C11" s="42" t="s">
        <v>3</v>
      </c>
      <c r="D11" s="50"/>
      <c r="E11" s="26"/>
      <c r="F11" s="4" t="str">
        <f t="shared" ref="F11:F15" si="1">IF(OR(D11="",E11=""),"",AVERAGE(D11:E11)/AVERAGE($D$10:$E$10))</f>
        <v/>
      </c>
      <c r="G11" s="5" t="str">
        <f t="shared" si="0"/>
        <v/>
      </c>
      <c r="H11" s="9"/>
      <c r="I11" s="7">
        <f>LN(B11)</f>
        <v>-2.3025850929940455</v>
      </c>
      <c r="P11" s="6"/>
      <c r="Q11" s="6"/>
      <c r="R11" s="6"/>
      <c r="S11" s="6"/>
    </row>
    <row r="12" spans="1:24" ht="16.5" x14ac:dyDescent="0.25">
      <c r="A12" s="41" t="s">
        <v>34</v>
      </c>
      <c r="B12" s="47">
        <v>0.25</v>
      </c>
      <c r="C12" s="42" t="s">
        <v>3</v>
      </c>
      <c r="D12" s="50"/>
      <c r="E12" s="26"/>
      <c r="F12" s="4" t="str">
        <f t="shared" si="1"/>
        <v/>
      </c>
      <c r="G12" s="5" t="str">
        <f t="shared" si="0"/>
        <v/>
      </c>
      <c r="H12" s="9"/>
      <c r="I12" s="7">
        <f>LN(B12)</f>
        <v>-1.3862943611198906</v>
      </c>
      <c r="P12" s="6"/>
      <c r="Q12" s="6"/>
      <c r="R12" s="6"/>
      <c r="S12" s="6"/>
    </row>
    <row r="13" spans="1:24" ht="16.5" x14ac:dyDescent="0.25">
      <c r="A13" s="41" t="s">
        <v>35</v>
      </c>
      <c r="B13" s="48">
        <v>1</v>
      </c>
      <c r="C13" s="3" t="s">
        <v>3</v>
      </c>
      <c r="D13" s="50"/>
      <c r="E13" s="26"/>
      <c r="F13" s="4" t="str">
        <f t="shared" si="1"/>
        <v/>
      </c>
      <c r="G13" s="5" t="str">
        <f t="shared" si="0"/>
        <v/>
      </c>
      <c r="H13" s="9"/>
      <c r="I13" s="7">
        <f>LN(B13)</f>
        <v>0</v>
      </c>
      <c r="P13" s="6"/>
      <c r="Q13" s="6"/>
      <c r="R13" s="6"/>
    </row>
    <row r="14" spans="1:24" ht="16.5" x14ac:dyDescent="0.25">
      <c r="A14" s="41" t="s">
        <v>36</v>
      </c>
      <c r="B14" s="49">
        <v>3</v>
      </c>
      <c r="C14" s="43" t="s">
        <v>3</v>
      </c>
      <c r="D14" s="53"/>
      <c r="E14" s="26"/>
      <c r="F14" s="4" t="str">
        <f t="shared" si="1"/>
        <v/>
      </c>
      <c r="G14" s="5" t="str">
        <f t="shared" si="0"/>
        <v/>
      </c>
      <c r="H14" s="9"/>
      <c r="I14" s="7">
        <f>LN(B14)</f>
        <v>1.0986122886681098</v>
      </c>
      <c r="P14" s="1"/>
      <c r="Q14" s="33"/>
      <c r="R14" s="33"/>
      <c r="S14" s="8"/>
    </row>
    <row r="15" spans="1:24" ht="16.5" x14ac:dyDescent="0.25">
      <c r="A15" s="41" t="s">
        <v>37</v>
      </c>
      <c r="B15" s="49">
        <v>6</v>
      </c>
      <c r="C15" s="43" t="s">
        <v>3</v>
      </c>
      <c r="D15" s="50"/>
      <c r="E15" s="26"/>
      <c r="F15" s="4" t="str">
        <f t="shared" si="1"/>
        <v/>
      </c>
      <c r="G15" s="5" t="str">
        <f t="shared" si="0"/>
        <v/>
      </c>
      <c r="H15" s="9"/>
      <c r="I15" s="7">
        <f>LN(B15)</f>
        <v>1.791759469228055</v>
      </c>
    </row>
    <row r="16" spans="1:24" x14ac:dyDescent="0.25">
      <c r="A16" s="34"/>
      <c r="B16" s="35"/>
      <c r="C16" s="17"/>
      <c r="D16" s="25"/>
      <c r="E16" s="25"/>
      <c r="F16" s="18"/>
      <c r="G16" s="19"/>
      <c r="H16" s="9"/>
      <c r="I16" s="20"/>
    </row>
    <row r="17" spans="1:25" ht="16.5" x14ac:dyDescent="0.25">
      <c r="B17" s="54"/>
      <c r="C17" s="55" t="s">
        <v>51</v>
      </c>
      <c r="D17" s="56" t="str">
        <f>IF(AND(0.5&lt;=$F$11,0.5&gt;$F$12),$F$21,IF(AND(0.5&lt;=$F$12,0.5&gt;$F$13),$F$22,IF(AND(0.5&lt;=$F$13,0.5&gt;$F$14),$F$23,IF(AND(0.5&lt;=$F$14,0.5&gt;$F$15),$F$24,"не определено"))))</f>
        <v>не определено</v>
      </c>
      <c r="E17" s="57" t="s">
        <v>3</v>
      </c>
    </row>
    <row r="18" spans="1:25" x14ac:dyDescent="0.25">
      <c r="B18" s="1"/>
      <c r="C18" s="33"/>
      <c r="D18" s="8"/>
      <c r="E18" s="36"/>
    </row>
    <row r="19" spans="1:25" ht="15" hidden="1" customHeight="1" x14ac:dyDescent="0.25">
      <c r="B19" s="11"/>
      <c r="C19" s="12" t="s">
        <v>4</v>
      </c>
      <c r="D19" s="12" t="s">
        <v>5</v>
      </c>
      <c r="E19" s="12" t="s">
        <v>6</v>
      </c>
      <c r="F19" s="11" t="s">
        <v>7</v>
      </c>
      <c r="I19" s="8"/>
      <c r="J19" s="8"/>
      <c r="K19" s="1"/>
      <c r="L19" s="1"/>
      <c r="M19" s="1"/>
      <c r="N19" s="1"/>
      <c r="O19" s="1"/>
    </row>
    <row r="20" spans="1:25" ht="15" hidden="1" customHeight="1" x14ac:dyDescent="0.25">
      <c r="B20" s="12" t="s">
        <v>8</v>
      </c>
      <c r="C20" s="10" t="e">
        <f>SLOPE(F11:F14,I11:I14)</f>
        <v>#DIV/0!</v>
      </c>
      <c r="D20" s="10" t="e">
        <f>INTERCEPT(F11:F14,I11:I14)</f>
        <v>#DIV/0!</v>
      </c>
      <c r="E20" s="10" t="e">
        <f>SQRT(-CORREL(F11:F14,I11:I14))</f>
        <v>#DIV/0!</v>
      </c>
      <c r="F20" s="10" t="e">
        <f t="shared" ref="F20:F23" si="2">EXP((0.5-D20)/C20)</f>
        <v>#DIV/0!</v>
      </c>
      <c r="I20" s="8"/>
      <c r="J20" s="8"/>
      <c r="K20" s="1"/>
      <c r="L20" s="1"/>
      <c r="M20" s="1"/>
      <c r="N20" s="1"/>
      <c r="O20" s="1"/>
    </row>
    <row r="21" spans="1:25" ht="16.5" hidden="1" customHeight="1" x14ac:dyDescent="0.3">
      <c r="B21" s="12" t="s">
        <v>9</v>
      </c>
      <c r="C21" s="10" t="e">
        <f>SLOPE(F11:F12,I11:I12)</f>
        <v>#DIV/0!</v>
      </c>
      <c r="D21" s="10" t="e">
        <f>INTERCEPT(F11:F12,I11:I12)</f>
        <v>#DIV/0!</v>
      </c>
      <c r="E21" s="10" t="e">
        <f>CORREL(F11:F12,I11:I12)</f>
        <v>#DIV/0!</v>
      </c>
      <c r="F21" s="10" t="e">
        <f t="shared" si="2"/>
        <v>#DIV/0!</v>
      </c>
      <c r="O21" s="1"/>
    </row>
    <row r="22" spans="1:25" ht="16.5" hidden="1" customHeight="1" x14ac:dyDescent="0.3">
      <c r="B22" s="12" t="s">
        <v>10</v>
      </c>
      <c r="C22" s="10" t="e">
        <f>SLOPE(F12:F13,I12:I13)</f>
        <v>#DIV/0!</v>
      </c>
      <c r="D22" s="10" t="e">
        <f>INTERCEPT(F12:F13,I12:I13)</f>
        <v>#DIV/0!</v>
      </c>
      <c r="E22" s="10" t="e">
        <f>CORREL(F12:F13,I12:I13)</f>
        <v>#DIV/0!</v>
      </c>
      <c r="F22" s="10" t="e">
        <f t="shared" si="2"/>
        <v>#DIV/0!</v>
      </c>
      <c r="O22" s="1"/>
    </row>
    <row r="23" spans="1:25" ht="15" hidden="1" customHeight="1" x14ac:dyDescent="0.3">
      <c r="B23" s="13" t="s">
        <v>11</v>
      </c>
      <c r="C23" s="10" t="e">
        <f>SLOPE(F13:F14,I13:I14)</f>
        <v>#DIV/0!</v>
      </c>
      <c r="D23" s="10" t="e">
        <f>INTERCEPT(F13:F14,I13:I14)</f>
        <v>#DIV/0!</v>
      </c>
      <c r="E23" s="10" t="e">
        <f>CORREL(F13:F14,I13:I14)</f>
        <v>#DIV/0!</v>
      </c>
      <c r="F23" s="10" t="e">
        <f t="shared" si="2"/>
        <v>#DIV/0!</v>
      </c>
      <c r="O23" s="1"/>
    </row>
    <row r="24" spans="1:25" ht="15" hidden="1" customHeight="1" x14ac:dyDescent="0.3">
      <c r="B24" s="13" t="s">
        <v>12</v>
      </c>
      <c r="C24" s="10" t="e">
        <f>SLOPE(F14:F15,I14:I15)</f>
        <v>#DIV/0!</v>
      </c>
      <c r="D24" s="10" t="e">
        <f>INTERCEPT(F14:F15,I14:I15)</f>
        <v>#DIV/0!</v>
      </c>
      <c r="E24" s="10" t="e">
        <f>CORREL(F14:F15,I14:I15)</f>
        <v>#DIV/0!</v>
      </c>
      <c r="F24" s="10" t="e">
        <f>EXP((0.5-D24)/C24)</f>
        <v>#DIV/0!</v>
      </c>
      <c r="O24" s="1"/>
    </row>
    <row r="25" spans="1:25" ht="15" customHeight="1" x14ac:dyDescent="0.25">
      <c r="B25" s="52" t="s">
        <v>21</v>
      </c>
      <c r="C25" s="96" t="s">
        <v>50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25" ht="29.25" customHeight="1" x14ac:dyDescent="0.25">
      <c r="B26" s="52" t="s">
        <v>20</v>
      </c>
      <c r="C26" s="96" t="s">
        <v>47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25" ht="15" customHeight="1" x14ac:dyDescent="0.25">
      <c r="B27" s="52" t="s">
        <v>22</v>
      </c>
      <c r="C27" s="78" t="s">
        <v>44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25" ht="15" customHeight="1" x14ac:dyDescent="0.25">
      <c r="B28" s="52" t="s">
        <v>23</v>
      </c>
      <c r="C28" s="77" t="s">
        <v>45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25" ht="15" customHeight="1" x14ac:dyDescent="0.25">
      <c r="B29" s="52" t="s">
        <v>24</v>
      </c>
      <c r="C29" s="78" t="s">
        <v>46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25" ht="15" customHeight="1" x14ac:dyDescent="0.25">
      <c r="B30" s="13"/>
      <c r="C30" s="10"/>
      <c r="D30" s="10"/>
      <c r="E30" s="10"/>
      <c r="F30" s="10"/>
      <c r="O30" s="1"/>
    </row>
    <row r="31" spans="1:25" ht="73.5" customHeight="1" x14ac:dyDescent="0.25">
      <c r="A31" s="32" t="s">
        <v>13</v>
      </c>
      <c r="B31" s="66" t="s">
        <v>14</v>
      </c>
      <c r="C31" s="67"/>
      <c r="D31" s="76"/>
      <c r="E31" s="37" t="s">
        <v>19</v>
      </c>
      <c r="F31" s="37" t="s">
        <v>38</v>
      </c>
      <c r="G31" s="32" t="s">
        <v>39</v>
      </c>
      <c r="H31" s="37" t="s">
        <v>2</v>
      </c>
      <c r="I31" s="38" t="s">
        <v>40</v>
      </c>
      <c r="J31" s="39" t="s">
        <v>43</v>
      </c>
      <c r="K31" s="37" t="s">
        <v>15</v>
      </c>
      <c r="L31" s="37"/>
      <c r="M31" s="32" t="s">
        <v>41</v>
      </c>
      <c r="N31" s="32"/>
      <c r="O31" s="37" t="s">
        <v>28</v>
      </c>
      <c r="P31" s="85" t="s">
        <v>42</v>
      </c>
      <c r="Q31" s="85"/>
      <c r="R31" s="44"/>
    </row>
    <row r="32" spans="1:25" ht="15" customHeight="1" x14ac:dyDescent="0.25">
      <c r="A32" s="65">
        <v>1</v>
      </c>
      <c r="B32" s="58"/>
      <c r="C32" s="59"/>
      <c r="D32" s="60"/>
      <c r="E32" s="71" t="s">
        <v>21</v>
      </c>
      <c r="F32" s="50"/>
      <c r="G32" s="14" t="str">
        <f>IF(F32="","",IF((F32/AVERAGE($D$10:$E$10))=0,"",F32/AVERAGE($D$10:$E$10)))</f>
        <v/>
      </c>
      <c r="H32" s="69" t="str">
        <f>IF(OR(F33="",F32=""),"",STDEV(F32:F33)/AVERAGE(F32:F33))</f>
        <v/>
      </c>
      <c r="I32" s="15" t="str">
        <f t="shared" ref="I32:I71" si="3">IF(G32="","",IF(G32&gt;$F$11,"менее "&amp;$B$11,IF(G32&lt;$F$15,"более "&amp;$B$15,IF(G32&gt;$F$12,EXP((G32-$D$21)/$C$21),IF(G32&gt;$F$13,EXP((G32-$D$22)/$C$22),IF(G32&gt;$F$14,EXP((G32-$D$23)/$C$23),IF(G32&gt;$F$15,EXP((G32-$D$24)/$C$24))))))))</f>
        <v/>
      </c>
      <c r="J32" s="79" t="str">
        <f>IF(OR(F32="",F33=""),"",IF(OR(G32&gt;$F$11,G33&gt;$F$11),"менее "&amp;$B$11,IF(OR(G32&lt;$F$15,G33&lt;$F$15),"более "&amp;$B$15,AVERAGE(I32:I33))))</f>
        <v/>
      </c>
      <c r="K32" s="81">
        <f>VLOOKUP(E32,$T$3:$W$8,2,FALSE)</f>
        <v>100</v>
      </c>
      <c r="L32" s="51">
        <f>VLOOKUP(E32,$T$4:$X$8,5,FALSE)</f>
        <v>10</v>
      </c>
      <c r="M32" s="7" t="str">
        <f t="shared" ref="M32" si="4">IF(F32="","",IF(G32&gt;$F$11,"менее "&amp;L32,IF(G32&lt;$F$15,"более "&amp;$B$15*K32,IF(I32*K32&lt;L32,"менее "&amp;L32,I32*K32))))</f>
        <v/>
      </c>
      <c r="N32" s="21" t="e">
        <f>ABS(M32-M33)</f>
        <v>#VALUE!</v>
      </c>
      <c r="O32" s="88" t="str">
        <f>IF(F32="","",IF(0.01*P32*N33&gt;N32,"приемлемо","неприемлемо"))</f>
        <v/>
      </c>
      <c r="P32" s="83" t="str">
        <f>IF(OR(M32="",M33=""),"",IF(OR(M32="менее 10",M32="менее 2,5",M32="менее 20",M33="менее 10",M33="менее 2,5",M33="менее 20"),"менее "&amp;L32,IF(OR(G32&lt;$F$15,G33&lt;$F$15),"более "&amp;$B$15*K32,ROUND(AVERAGE(M32:M33),2))))</f>
        <v/>
      </c>
      <c r="Q32" s="86" t="str">
        <f>IF(P32="","",IF(P32="более "&amp;$B$15,"",IF(P32="менее "&amp;$B$11,"",0.01*P32*VLOOKUP(E32,$T$4:$W$8,4,FALSE))))</f>
        <v/>
      </c>
      <c r="R32" s="45"/>
      <c r="Y32">
        <f>IF(E32="Матрица 1",1,2)</f>
        <v>1</v>
      </c>
    </row>
    <row r="33" spans="1:21" ht="15" customHeight="1" x14ac:dyDescent="0.25">
      <c r="A33" s="68"/>
      <c r="B33" s="61"/>
      <c r="C33" s="62"/>
      <c r="D33" s="63"/>
      <c r="E33" s="72"/>
      <c r="F33" s="26"/>
      <c r="G33" s="14" t="str">
        <f t="shared" ref="G33:G37" si="5">IF(F33="","",IF((F33/AVERAGE($D$10:$E$10))=0,"",F33/AVERAGE($D$10:$E$10)))</f>
        <v/>
      </c>
      <c r="H33" s="70" t="str">
        <f>IF(F33=G33,"0,0%",STDEV(F33:G33)/AVERAGE(F33:G33))</f>
        <v>0,0%</v>
      </c>
      <c r="I33" s="15" t="str">
        <f t="shared" si="3"/>
        <v/>
      </c>
      <c r="J33" s="80"/>
      <c r="K33" s="82"/>
      <c r="L33" s="51">
        <f>VLOOKUP(E32,$T$4:$X$8,5,FALSE)</f>
        <v>10</v>
      </c>
      <c r="M33" s="7" t="str">
        <f t="shared" ref="M33" si="6">IF(F33="","",IF(G33&gt;$F$11,"менее "&amp;L33,IF(G33&lt;$F$15,"более "&amp;$B$15*K32,IF(I33*K32&lt;L33,"менее "&amp;L33,I33*K32))))</f>
        <v/>
      </c>
      <c r="N33" s="22">
        <f>VLOOKUP(E32,$T$4:$W$8,3,FALSE)</f>
        <v>24</v>
      </c>
      <c r="O33" s="89"/>
      <c r="P33" s="84"/>
      <c r="Q33" s="87"/>
      <c r="R33" s="45"/>
    </row>
    <row r="34" spans="1:21" ht="15" customHeight="1" x14ac:dyDescent="0.25">
      <c r="A34" s="65">
        <v>2</v>
      </c>
      <c r="B34" s="58"/>
      <c r="C34" s="59"/>
      <c r="D34" s="60"/>
      <c r="E34" s="71" t="s">
        <v>24</v>
      </c>
      <c r="F34" s="50"/>
      <c r="G34" s="14" t="str">
        <f t="shared" si="5"/>
        <v/>
      </c>
      <c r="H34" s="69" t="str">
        <f>IF(OR(F35="",F34=""),"",STDEV(F34:F35)/AVERAGE(F34:F35))</f>
        <v/>
      </c>
      <c r="I34" s="15" t="str">
        <f t="shared" si="3"/>
        <v/>
      </c>
      <c r="J34" s="79" t="str">
        <f>IF(OR(F34="",F35=""),"",IF(OR(G34&gt;$F$11,G35&gt;$F$11),"менее "&amp;$B$11,IF(OR(G34&lt;$F$15,G35&lt;$F$15),"более "&amp;$B$15,AVERAGE(I34:I35))))</f>
        <v/>
      </c>
      <c r="K34" s="81">
        <f>VLOOKUP(E34,$T$3:$W$8,2,FALSE)</f>
        <v>200</v>
      </c>
      <c r="L34" s="51">
        <f t="shared" ref="L34" si="7">VLOOKUP(E34,$T$4:$X$8,5,FALSE)</f>
        <v>20</v>
      </c>
      <c r="M34" s="7" t="str">
        <f t="shared" ref="M34" si="8">IF(F34="","",IF(G34&gt;$F$11,"менее "&amp;L34,IF(G34&lt;$F$15,"более "&amp;$B$15*K34,IF(I34*K34&lt;L34,"менее "&amp;L34,I34*K34))))</f>
        <v/>
      </c>
      <c r="N34" s="21" t="e">
        <f>ABS(M34-M35)</f>
        <v>#VALUE!</v>
      </c>
      <c r="O34" s="88" t="str">
        <f>IF(F34="","",IF(0.01*P34*N35&gt;N34,"приемлемо","неприемлемо"))</f>
        <v/>
      </c>
      <c r="P34" s="83" t="str">
        <f>IF(OR(M34="",M35=""),"",IF(OR(M34="менее 10",M34="менее 2,5",M34="менее 20",M35="менее 10",M35="менее 2,5",M35="менее 20"),"менее "&amp;L34,IF(OR(G34&lt;$F$15,G35&lt;$F$15),"более "&amp;$B$15*K34,ROUND(AVERAGE(M34:M35),2))))</f>
        <v/>
      </c>
      <c r="Q34" s="86" t="str">
        <f>IF(P34="","",IF(P34="более "&amp;$B$15,"",IF(P34="менее "&amp;$B$11,"",0.01*P34*VLOOKUP(E34,$T$4:$W$8,4,FALSE))))</f>
        <v/>
      </c>
      <c r="R34" s="45"/>
      <c r="S34" s="6"/>
      <c r="U34" s="6"/>
    </row>
    <row r="35" spans="1:21" ht="15" customHeight="1" x14ac:dyDescent="0.25">
      <c r="A35" s="68"/>
      <c r="B35" s="61"/>
      <c r="C35" s="62"/>
      <c r="D35" s="63"/>
      <c r="E35" s="72"/>
      <c r="F35" s="26"/>
      <c r="G35" s="14" t="str">
        <f t="shared" si="5"/>
        <v/>
      </c>
      <c r="H35" s="70" t="str">
        <f>IF(F35=G35,"0,0%",STDEV(F35:G35)/AVERAGE(F35:G35))</f>
        <v>0,0%</v>
      </c>
      <c r="I35" s="15" t="str">
        <f t="shared" si="3"/>
        <v/>
      </c>
      <c r="J35" s="80"/>
      <c r="K35" s="82"/>
      <c r="L35" s="51">
        <f t="shared" ref="L35" si="9">VLOOKUP(E34,$T$4:$X$8,5,FALSE)</f>
        <v>20</v>
      </c>
      <c r="M35" s="7" t="str">
        <f t="shared" ref="M35" si="10">IF(F35="","",IF(G35&gt;$F$11,"менее "&amp;L35,IF(G35&lt;$F$15,"более "&amp;$B$15*K34,IF(I35*K34&lt;L35,"менее "&amp;L35,I35*K34))))</f>
        <v/>
      </c>
      <c r="N35" s="22">
        <f>VLOOKUP(E34,$T$4:$W$8,3,FALSE)</f>
        <v>21</v>
      </c>
      <c r="O35" s="89"/>
      <c r="P35" s="84"/>
      <c r="Q35" s="87"/>
      <c r="R35" s="45"/>
      <c r="S35" s="27"/>
      <c r="T35" s="27"/>
      <c r="U35" s="27"/>
    </row>
    <row r="36" spans="1:21" ht="15" customHeight="1" x14ac:dyDescent="0.25">
      <c r="A36" s="65">
        <v>3</v>
      </c>
      <c r="B36" s="58"/>
      <c r="C36" s="59"/>
      <c r="D36" s="60"/>
      <c r="E36" s="71" t="s">
        <v>24</v>
      </c>
      <c r="F36" s="50"/>
      <c r="G36" s="14" t="str">
        <f t="shared" si="5"/>
        <v/>
      </c>
      <c r="H36" s="69" t="str">
        <f>IF(OR(F37="",F36=""),"",STDEV(F36:F37)/AVERAGE(F36:F37))</f>
        <v/>
      </c>
      <c r="I36" s="15" t="str">
        <f t="shared" si="3"/>
        <v/>
      </c>
      <c r="J36" s="79" t="str">
        <f>IF(OR(F36="",F37=""),"",IF(OR(G36&gt;$F$11,G37&gt;$F$11),"менее "&amp;$B$11,IF(OR(G36&lt;$F$15,G37&lt;$F$15),"более "&amp;$B$15,AVERAGE(I36:I37))))</f>
        <v/>
      </c>
      <c r="K36" s="81">
        <f>VLOOKUP(E36,$T$3:$W$8,2,FALSE)</f>
        <v>200</v>
      </c>
      <c r="L36" s="51">
        <f t="shared" ref="L36" si="11">VLOOKUP(E36,$T$4:$X$8,5,FALSE)</f>
        <v>20</v>
      </c>
      <c r="M36" s="7" t="str">
        <f>IF(F36="","",IF(G36&gt;$F$11,"менее "&amp;L36,IF(G36&lt;$F$15,"более "&amp;$B$15*K36,IF(I36*K36&lt;L36,"менее "&amp;L36,I36*K36))))</f>
        <v/>
      </c>
      <c r="N36" s="21" t="e">
        <f t="shared" ref="N36" si="12">ABS(M36-M37)</f>
        <v>#VALUE!</v>
      </c>
      <c r="O36" s="88" t="str">
        <f>IF(F36="","",IF(0.01*P36*N37&gt;N36,"приемлемо","неприемлемо"))</f>
        <v/>
      </c>
      <c r="P36" s="83" t="str">
        <f t="shared" ref="P36" si="13">IF(OR(M36="",M37=""),"",IF(OR(M36="менее 10",M36="менее 2,5",M36="менее 20",M37="менее 10",M37="менее 2,5",M37="менее 20"),"менее "&amp;L36,IF(OR(G36&lt;$F$15,G37&lt;$F$15),"более "&amp;$B$15*K36,ROUND(AVERAGE(M36:M37),2))))</f>
        <v/>
      </c>
      <c r="Q36" s="86" t="str">
        <f>IF(P36="","",IF(P36="более "&amp;$B$15,"",IF(P36="менее "&amp;$B$11,"",0.01*P36*VLOOKUP(E36,$T$4:$W$8,4,FALSE))))</f>
        <v/>
      </c>
      <c r="R36" s="45"/>
      <c r="S36" s="27"/>
      <c r="T36" s="27"/>
      <c r="U36" s="40"/>
    </row>
    <row r="37" spans="1:21" ht="15" customHeight="1" x14ac:dyDescent="0.25">
      <c r="A37" s="68"/>
      <c r="B37" s="61"/>
      <c r="C37" s="62"/>
      <c r="D37" s="63"/>
      <c r="E37" s="72"/>
      <c r="F37" s="26"/>
      <c r="G37" s="14" t="str">
        <f t="shared" si="5"/>
        <v/>
      </c>
      <c r="H37" s="70" t="str">
        <f>IF(F37=G37,"0,0%",STDEV(F37:G37)/AVERAGE(F37:G37))</f>
        <v>0,0%</v>
      </c>
      <c r="I37" s="15" t="str">
        <f t="shared" si="3"/>
        <v/>
      </c>
      <c r="J37" s="80"/>
      <c r="K37" s="82"/>
      <c r="L37" s="51">
        <f t="shared" ref="L37" si="14">VLOOKUP(E36,$T$4:$X$8,5,FALSE)</f>
        <v>20</v>
      </c>
      <c r="M37" s="7" t="str">
        <f>IF(F37="","",IF(G37&gt;$F$11,"менее "&amp;L37,IF(G37&lt;$F$15,"более "&amp;$B$15*K36,IF(I37*K36&lt;L37,"менее "&amp;L37,I37*K36))))</f>
        <v/>
      </c>
      <c r="N37" s="22">
        <f>VLOOKUP(E36,$T$4:$W$8,3,FALSE)</f>
        <v>21</v>
      </c>
      <c r="O37" s="89"/>
      <c r="P37" s="84"/>
      <c r="Q37" s="87"/>
      <c r="R37" s="45"/>
      <c r="S37" s="27"/>
      <c r="T37" s="27"/>
      <c r="U37" s="40"/>
    </row>
    <row r="38" spans="1:21" ht="15" customHeight="1" x14ac:dyDescent="0.25">
      <c r="A38" s="65">
        <v>4</v>
      </c>
      <c r="B38" s="58"/>
      <c r="C38" s="59"/>
      <c r="D38" s="60"/>
      <c r="E38" s="71" t="s">
        <v>24</v>
      </c>
      <c r="F38" s="50"/>
      <c r="G38" s="14" t="str">
        <f t="shared" ref="G38:G71" si="15">IF(F38="","",IF((F38/AVERAGE($D$10:$E$10))=0,"",F38/AVERAGE($D$10:$E$10)))</f>
        <v/>
      </c>
      <c r="H38" s="69" t="str">
        <f>IF(OR(F39="",F38=""),"",STDEV(F38:F39)/AVERAGE(F38:F39))</f>
        <v/>
      </c>
      <c r="I38" s="15" t="str">
        <f t="shared" si="3"/>
        <v/>
      </c>
      <c r="J38" s="79" t="str">
        <f>IF(OR(F38="",F39=""),"",IF(OR(G38&gt;$F$11,G39&gt;$F$11),"менее "&amp;$B$11,IF(OR(G38&lt;$F$15,G39&lt;$F$15),"более "&amp;$B$15,AVERAGE(I38:I39))))</f>
        <v/>
      </c>
      <c r="K38" s="81">
        <f>VLOOKUP(E38,$T$3:$W$8,2,FALSE)</f>
        <v>200</v>
      </c>
      <c r="L38" s="51">
        <f t="shared" ref="L38" si="16">VLOOKUP(E38,$T$4:$X$8,5,FALSE)</f>
        <v>20</v>
      </c>
      <c r="M38" s="7" t="str">
        <f t="shared" ref="M38" si="17">IF(F38="","",IF(G38&gt;$F$11,"менее "&amp;L38,IF(G38&lt;$F$15,"более "&amp;$B$15*K38,IF(I38*K38&lt;L38,"менее "&amp;L38,I38*K38))))</f>
        <v/>
      </c>
      <c r="N38" s="21" t="e">
        <f t="shared" ref="N38" si="18">ABS(M38-M39)</f>
        <v>#VALUE!</v>
      </c>
      <c r="O38" s="88" t="str">
        <f>IF(F38="","",IF(0.01*P38*N39&gt;N38,"приемлемо","неприемлемо"))</f>
        <v/>
      </c>
      <c r="P38" s="83" t="str">
        <f t="shared" ref="P38" si="19">IF(OR(M38="",M39=""),"",IF(OR(M38="менее 10",M38="менее 2,5",M38="менее 20",M39="менее 10",M39="менее 2,5",M39="менее 20"),"менее "&amp;L38,IF(OR(G38&lt;$F$15,G39&lt;$F$15),"более "&amp;$B$15*K38,ROUND(AVERAGE(M38:M39),2))))</f>
        <v/>
      </c>
      <c r="Q38" s="86" t="str">
        <f>IF(P38="","",IF(P38="более "&amp;$B$15,"",IF(P38="менее "&amp;$B$11,"",0.01*P38*VLOOKUP(E38,$T$4:$W$8,4,FALSE))))</f>
        <v/>
      </c>
      <c r="R38" s="45"/>
      <c r="S38" s="27"/>
      <c r="T38" s="27"/>
      <c r="U38" s="40"/>
    </row>
    <row r="39" spans="1:21" ht="15" customHeight="1" x14ac:dyDescent="0.25">
      <c r="A39" s="68"/>
      <c r="B39" s="61"/>
      <c r="C39" s="62"/>
      <c r="D39" s="63"/>
      <c r="E39" s="72"/>
      <c r="F39" s="26"/>
      <c r="G39" s="14" t="str">
        <f t="shared" si="15"/>
        <v/>
      </c>
      <c r="H39" s="70" t="str">
        <f>IF(F39=G39,"0,0%",STDEV(F39:G39)/AVERAGE(F39:G39))</f>
        <v>0,0%</v>
      </c>
      <c r="I39" s="15" t="str">
        <f t="shared" si="3"/>
        <v/>
      </c>
      <c r="J39" s="80"/>
      <c r="K39" s="82"/>
      <c r="L39" s="51">
        <f t="shared" ref="L39" si="20">VLOOKUP(E38,$T$4:$X$8,5,FALSE)</f>
        <v>20</v>
      </c>
      <c r="M39" s="7" t="str">
        <f t="shared" ref="M39" si="21">IF(F39="","",IF(G39&gt;$F$11,"менее "&amp;L39,IF(G39&lt;$F$15,"более "&amp;$B$15*K38,IF(I39*K38&lt;L39,"менее "&amp;L39,I39*K38))))</f>
        <v/>
      </c>
      <c r="N39" s="22">
        <f>VLOOKUP(E38,$T$4:$W$8,3,FALSE)</f>
        <v>21</v>
      </c>
      <c r="O39" s="89"/>
      <c r="P39" s="84"/>
      <c r="Q39" s="87"/>
      <c r="R39" s="45"/>
      <c r="S39" s="27"/>
      <c r="T39" s="27"/>
      <c r="U39" s="40"/>
    </row>
    <row r="40" spans="1:21" ht="15" customHeight="1" x14ac:dyDescent="0.25">
      <c r="A40" s="65">
        <v>5</v>
      </c>
      <c r="B40" s="58"/>
      <c r="C40" s="59"/>
      <c r="D40" s="60"/>
      <c r="E40" s="71" t="s">
        <v>22</v>
      </c>
      <c r="F40" s="50"/>
      <c r="G40" s="14" t="str">
        <f t="shared" si="15"/>
        <v/>
      </c>
      <c r="H40" s="69" t="str">
        <f>IF(OR(F41="",F40=""),"",STDEV(F40:F41)/AVERAGE(F40:F41))</f>
        <v/>
      </c>
      <c r="I40" s="15" t="str">
        <f t="shared" si="3"/>
        <v/>
      </c>
      <c r="J40" s="79" t="str">
        <f>IF(OR(F40="",F41=""),"",IF(OR(G40&gt;$F$11,G41&gt;$F$11),"менее "&amp;$B$11,IF(OR(G40&lt;$F$15,G41&lt;$F$15),"более "&amp;$B$15,AVERAGE(I40:I41))))</f>
        <v/>
      </c>
      <c r="K40" s="81">
        <f>VLOOKUP(E40,$T$3:$W$8,2,FALSE)</f>
        <v>100</v>
      </c>
      <c r="L40" s="51">
        <f t="shared" ref="L40" si="22">VLOOKUP(E40,$T$4:$X$8,5,FALSE)</f>
        <v>10</v>
      </c>
      <c r="M40" s="7" t="str">
        <f t="shared" ref="M40" si="23">IF(F40="","",IF(G40&gt;$F$11,"менее "&amp;L40,IF(G40&lt;$F$15,"более "&amp;$B$15*K40,IF(I40*K40&lt;L40,"менее "&amp;L40,I40*K40))))</f>
        <v/>
      </c>
      <c r="N40" s="21" t="e">
        <f t="shared" ref="N40" si="24">ABS(M40-M41)</f>
        <v>#VALUE!</v>
      </c>
      <c r="O40" s="88" t="str">
        <f>IF(F40="","",IF(0.01*P40*N41&gt;N40,"приемлемо","неприемлемо"))</f>
        <v/>
      </c>
      <c r="P40" s="83" t="str">
        <f t="shared" ref="P40" si="25">IF(OR(M40="",M41=""),"",IF(OR(M40="менее 10",M40="менее 2,5",M40="менее 20",M41="менее 10",M41="менее 2,5",M41="менее 20"),"менее "&amp;L40,IF(OR(G40&lt;$F$15,G41&lt;$F$15),"более "&amp;$B$15*K40,ROUND(AVERAGE(M40:M41),2))))</f>
        <v/>
      </c>
      <c r="Q40" s="86" t="str">
        <f>IF(P40="","",IF(P40="более "&amp;$B$15,"",IF(P40="менее "&amp;$B$11,"",0.01*P40*VLOOKUP(E40,$T$4:$W$8,4,FALSE))))</f>
        <v/>
      </c>
      <c r="R40" s="45"/>
      <c r="S40" s="27"/>
      <c r="T40" s="27"/>
      <c r="U40" s="27"/>
    </row>
    <row r="41" spans="1:21" ht="15" customHeight="1" x14ac:dyDescent="0.25">
      <c r="A41" s="68"/>
      <c r="B41" s="61"/>
      <c r="C41" s="62"/>
      <c r="D41" s="63"/>
      <c r="E41" s="72"/>
      <c r="F41" s="26"/>
      <c r="G41" s="14" t="str">
        <f t="shared" si="15"/>
        <v/>
      </c>
      <c r="H41" s="70" t="str">
        <f>IF(F41=G41,"0,0%",STDEV(F41:G41)/AVERAGE(F41:G41))</f>
        <v>0,0%</v>
      </c>
      <c r="I41" s="15" t="str">
        <f t="shared" si="3"/>
        <v/>
      </c>
      <c r="J41" s="80"/>
      <c r="K41" s="82"/>
      <c r="L41" s="51">
        <f t="shared" ref="L41" si="26">VLOOKUP(E40,$T$4:$X$8,5,FALSE)</f>
        <v>10</v>
      </c>
      <c r="M41" s="7" t="str">
        <f t="shared" ref="M41" si="27">IF(F41="","",IF(G41&gt;$F$11,"менее "&amp;L41,IF(G41&lt;$F$15,"более "&amp;$B$15*K40,IF(I41*K40&lt;L41,"менее "&amp;L41,I41*K40))))</f>
        <v/>
      </c>
      <c r="N41" s="22">
        <f>VLOOKUP(E40,$T$4:$W$8,3,FALSE)</f>
        <v>21</v>
      </c>
      <c r="O41" s="89"/>
      <c r="P41" s="84"/>
      <c r="Q41" s="87"/>
      <c r="R41" s="45"/>
      <c r="S41" s="27"/>
      <c r="T41" s="27"/>
      <c r="U41" s="27"/>
    </row>
    <row r="42" spans="1:21" ht="15" customHeight="1" x14ac:dyDescent="0.25">
      <c r="A42" s="65">
        <v>6</v>
      </c>
      <c r="B42" s="58"/>
      <c r="C42" s="59"/>
      <c r="D42" s="60"/>
      <c r="E42" s="71" t="s">
        <v>20</v>
      </c>
      <c r="F42" s="50"/>
      <c r="G42" s="14" t="str">
        <f t="shared" si="15"/>
        <v/>
      </c>
      <c r="H42" s="69" t="str">
        <f>IF(OR(F43="",F42=""),"",STDEV(F42:F43)/AVERAGE(F42:F43))</f>
        <v/>
      </c>
      <c r="I42" s="15" t="str">
        <f t="shared" si="3"/>
        <v/>
      </c>
      <c r="J42" s="79" t="str">
        <f>IF(OR(F42="",F43=""),"",IF(OR(G42&gt;$F$11,G43&gt;$F$11),"менее "&amp;$B$11,IF(OR(G42&lt;$F$15,G43&lt;$F$15),"более "&amp;$B$15,AVERAGE(I42:I43))))</f>
        <v/>
      </c>
      <c r="K42" s="81">
        <f>VLOOKUP(E42,$T$3:$W$8,2,FALSE)</f>
        <v>21.25</v>
      </c>
      <c r="L42" s="51">
        <f t="shared" ref="L42" si="28">VLOOKUP(E42,$T$4:$X$8,5,FALSE)</f>
        <v>2.5</v>
      </c>
      <c r="M42" s="7" t="str">
        <f t="shared" ref="M42" si="29">IF(F42="","",IF(G42&gt;$F$11,"менее "&amp;L42,IF(G42&lt;$F$15,"более "&amp;$B$15*K42,IF(I42*K42&lt;L42,"менее "&amp;L42,I42*K42))))</f>
        <v/>
      </c>
      <c r="N42" s="21" t="e">
        <f t="shared" ref="N42" si="30">ABS(M42-M43)</f>
        <v>#VALUE!</v>
      </c>
      <c r="O42" s="88" t="str">
        <f>IF(F42="","",IF(0.01*P42*N43&gt;N42,"приемлемо","неприемлемо"))</f>
        <v/>
      </c>
      <c r="P42" s="83" t="str">
        <f t="shared" ref="P42" si="31">IF(OR(M42="",M43=""),"",IF(OR(M42="менее 10",M42="менее 2,5",M42="менее 20",M43="менее 10",M43="менее 2,5",M43="менее 20"),"менее "&amp;L42,IF(OR(G42&lt;$F$15,G43&lt;$F$15),"более "&amp;$B$15*K42,ROUND(AVERAGE(M42:M43),2))))</f>
        <v/>
      </c>
      <c r="Q42" s="86" t="str">
        <f>IF(P42="","",IF(P42="более "&amp;$B$15,"",IF(P42="менее "&amp;$B$11,"",0.01*P42*VLOOKUP(E42,$T$4:$W$8,4,FALSE))))</f>
        <v/>
      </c>
      <c r="R42" s="45"/>
      <c r="S42" s="27"/>
      <c r="T42" s="27"/>
      <c r="U42" s="27"/>
    </row>
    <row r="43" spans="1:21" ht="15" customHeight="1" x14ac:dyDescent="0.25">
      <c r="A43" s="68"/>
      <c r="B43" s="61"/>
      <c r="C43" s="62"/>
      <c r="D43" s="63"/>
      <c r="E43" s="72"/>
      <c r="F43" s="26"/>
      <c r="G43" s="14" t="str">
        <f t="shared" si="15"/>
        <v/>
      </c>
      <c r="H43" s="70" t="str">
        <f>IF(F43=G43,"0,0%",STDEV(F43:G43)/AVERAGE(F43:G43))</f>
        <v>0,0%</v>
      </c>
      <c r="I43" s="15" t="str">
        <f t="shared" si="3"/>
        <v/>
      </c>
      <c r="J43" s="80"/>
      <c r="K43" s="82"/>
      <c r="L43" s="51">
        <f t="shared" ref="L43" si="32">VLOOKUP(E42,$T$4:$X$8,5,FALSE)</f>
        <v>2.5</v>
      </c>
      <c r="M43" s="7" t="str">
        <f t="shared" ref="M43" si="33">IF(F43="","",IF(G43&gt;$F$11,"менее "&amp;L43,IF(G43&lt;$F$15,"более "&amp;$B$15*K42,IF(I43*K42&lt;L43,"менее "&amp;L43,I43*K42))))</f>
        <v/>
      </c>
      <c r="N43" s="22">
        <f>VLOOKUP(E42,$T$4:$W$8,3,FALSE)</f>
        <v>19</v>
      </c>
      <c r="O43" s="89"/>
      <c r="P43" s="84"/>
      <c r="Q43" s="87"/>
      <c r="R43" s="45"/>
      <c r="S43" s="27"/>
      <c r="T43" s="27"/>
      <c r="U43" s="27"/>
    </row>
    <row r="44" spans="1:21" ht="15" customHeight="1" x14ac:dyDescent="0.25">
      <c r="A44" s="65">
        <v>7</v>
      </c>
      <c r="B44" s="58"/>
      <c r="C44" s="59"/>
      <c r="D44" s="60"/>
      <c r="E44" s="71" t="s">
        <v>23</v>
      </c>
      <c r="F44" s="50"/>
      <c r="G44" s="14" t="str">
        <f t="shared" si="15"/>
        <v/>
      </c>
      <c r="H44" s="69" t="str">
        <f>IF(OR(F45="",F44=""),"",STDEV(F44:F45)/AVERAGE(F44:F45))</f>
        <v/>
      </c>
      <c r="I44" s="15" t="str">
        <f t="shared" si="3"/>
        <v/>
      </c>
      <c r="J44" s="79" t="str">
        <f>IF(OR(F44="",F45=""),"",IF(OR(G44&gt;$F$11,G45&gt;$F$11),"менее "&amp;$B$11,IF(OR(G44&lt;$F$15,G45&lt;$F$15),"более "&amp;$B$15,AVERAGE(I44:I45))))</f>
        <v/>
      </c>
      <c r="K44" s="81">
        <f>VLOOKUP(E44,$T$3:$W$8,2,FALSE)</f>
        <v>85</v>
      </c>
      <c r="L44" s="51">
        <f t="shared" ref="L44" si="34">VLOOKUP(E44,$T$4:$X$8,5,FALSE)</f>
        <v>10</v>
      </c>
      <c r="M44" s="7" t="str">
        <f t="shared" ref="M44" si="35">IF(F44="","",IF(G44&gt;$F$11,"менее "&amp;L44,IF(G44&lt;$F$15,"более "&amp;$B$15*K44,IF(I44*K44&lt;L44,"менее "&amp;L44,I44*K44))))</f>
        <v/>
      </c>
      <c r="N44" s="21" t="e">
        <f t="shared" ref="N44" si="36">ABS(M44-M45)</f>
        <v>#VALUE!</v>
      </c>
      <c r="O44" s="88" t="str">
        <f>IF(F44="","",IF(0.01*P44*N45&gt;N44,"приемлемо","неприемлемо"))</f>
        <v/>
      </c>
      <c r="P44" s="83" t="str">
        <f t="shared" ref="P44" si="37">IF(OR(M44="",M45=""),"",IF(OR(M44="менее 10",M44="менее 2,5",M44="менее 20",M45="менее 10",M45="менее 2,5",M45="менее 20"),"менее "&amp;L44,IF(OR(G44&lt;$F$15,G45&lt;$F$15),"более "&amp;$B$15*K44,ROUND(AVERAGE(M44:M45),2))))</f>
        <v/>
      </c>
      <c r="Q44" s="86" t="str">
        <f>IF(P44="","",IF(P44="более "&amp;$B$15,"",IF(P44="менее "&amp;$B$11,"",0.01*P44*VLOOKUP(E44,$T$4:$W$8,4,FALSE))))</f>
        <v/>
      </c>
      <c r="R44" s="45"/>
      <c r="S44" s="27"/>
      <c r="T44" s="28"/>
      <c r="U44" s="27"/>
    </row>
    <row r="45" spans="1:21" ht="15" customHeight="1" x14ac:dyDescent="0.25">
      <c r="A45" s="68"/>
      <c r="B45" s="61"/>
      <c r="C45" s="62"/>
      <c r="D45" s="63"/>
      <c r="E45" s="72"/>
      <c r="F45" s="26"/>
      <c r="G45" s="14" t="str">
        <f t="shared" si="15"/>
        <v/>
      </c>
      <c r="H45" s="70" t="str">
        <f>IF(F45=G45,"0,0%",STDEV(F45:G45)/AVERAGE(F45:G45))</f>
        <v>0,0%</v>
      </c>
      <c r="I45" s="15" t="str">
        <f t="shared" si="3"/>
        <v/>
      </c>
      <c r="J45" s="80"/>
      <c r="K45" s="82"/>
      <c r="L45" s="51">
        <f t="shared" ref="L45" si="38">VLOOKUP(E44,$T$4:$X$8,5,FALSE)</f>
        <v>10</v>
      </c>
      <c r="M45" s="7" t="str">
        <f t="shared" ref="M45" si="39">IF(F45="","",IF(G45&gt;$F$11,"менее "&amp;L45,IF(G45&lt;$F$15,"более "&amp;$B$15*K44,IF(I45*K44&lt;L45,"менее "&amp;L45,I45*K44))))</f>
        <v/>
      </c>
      <c r="N45" s="22">
        <f>VLOOKUP(E44,$T$4:$W$8,3,FALSE)</f>
        <v>22</v>
      </c>
      <c r="O45" s="89"/>
      <c r="P45" s="84"/>
      <c r="Q45" s="87"/>
      <c r="R45" s="45"/>
      <c r="S45" s="27"/>
      <c r="T45" s="28"/>
      <c r="U45" s="27"/>
    </row>
    <row r="46" spans="1:21" ht="15" customHeight="1" x14ac:dyDescent="0.25">
      <c r="A46" s="65">
        <v>8</v>
      </c>
      <c r="B46" s="58"/>
      <c r="C46" s="59"/>
      <c r="D46" s="60"/>
      <c r="E46" s="71" t="s">
        <v>21</v>
      </c>
      <c r="F46" s="50"/>
      <c r="G46" s="14" t="str">
        <f t="shared" si="15"/>
        <v/>
      </c>
      <c r="H46" s="69" t="str">
        <f>IF(OR(F47="",F46=""),"",STDEV(F46:F47)/AVERAGE(F46:F47))</f>
        <v/>
      </c>
      <c r="I46" s="15" t="str">
        <f t="shared" si="3"/>
        <v/>
      </c>
      <c r="J46" s="79" t="str">
        <f>IF(OR(F46="",F47=""),"",IF(OR(G46&gt;$F$11,G47&gt;$F$11),"менее "&amp;$B$11,IF(OR(G46&lt;$F$15,G47&lt;$F$15),"более "&amp;$B$15,AVERAGE(I46:I47))))</f>
        <v/>
      </c>
      <c r="K46" s="81">
        <f>VLOOKUP(E46,$T$3:$W$8,2,FALSE)</f>
        <v>100</v>
      </c>
      <c r="L46" s="51">
        <f t="shared" ref="L46" si="40">VLOOKUP(E46,$T$4:$X$8,5,FALSE)</f>
        <v>10</v>
      </c>
      <c r="M46" s="7" t="str">
        <f t="shared" ref="M46" si="41">IF(F46="","",IF(G46&gt;$F$11,"менее "&amp;L46,IF(G46&lt;$F$15,"более "&amp;$B$15*K46,IF(I46*K46&lt;L46,"менее "&amp;L46,I46*K46))))</f>
        <v/>
      </c>
      <c r="N46" s="21" t="e">
        <f t="shared" ref="N46" si="42">ABS(M46-M47)</f>
        <v>#VALUE!</v>
      </c>
      <c r="O46" s="88" t="str">
        <f>IF(F46="","",IF(0.01*P46*N47&gt;N46,"приемлемо","неприемлемо"))</f>
        <v/>
      </c>
      <c r="P46" s="83" t="str">
        <f t="shared" ref="P46" si="43">IF(OR(M46="",M47=""),"",IF(OR(M46="менее 10",M46="менее 2,5",M46="менее 20",M47="менее 10",M47="менее 2,5",M47="менее 20"),"менее "&amp;L46,IF(OR(G46&lt;$F$15,G47&lt;$F$15),"более "&amp;$B$15*K46,ROUND(AVERAGE(M46:M47),2))))</f>
        <v/>
      </c>
      <c r="Q46" s="86" t="str">
        <f>IF(P46="","",IF(P46="более "&amp;$B$15,"",IF(P46="менее "&amp;$B$11,"",0.01*P46*VLOOKUP(E46,$T$4:$W$8,4,FALSE))))</f>
        <v/>
      </c>
      <c r="R46" s="45"/>
      <c r="S46" s="27"/>
      <c r="T46" s="28"/>
      <c r="U46" s="27"/>
    </row>
    <row r="47" spans="1:21" ht="15" customHeight="1" x14ac:dyDescent="0.25">
      <c r="A47" s="68"/>
      <c r="B47" s="61"/>
      <c r="C47" s="62"/>
      <c r="D47" s="63"/>
      <c r="E47" s="72"/>
      <c r="F47" s="26"/>
      <c r="G47" s="14" t="str">
        <f t="shared" si="15"/>
        <v/>
      </c>
      <c r="H47" s="70" t="str">
        <f>IF(F47=G47,"0,0%",STDEV(F47:G47)/AVERAGE(F47:G47))</f>
        <v>0,0%</v>
      </c>
      <c r="I47" s="15" t="str">
        <f t="shared" si="3"/>
        <v/>
      </c>
      <c r="J47" s="80"/>
      <c r="K47" s="82"/>
      <c r="L47" s="51">
        <f t="shared" ref="L47" si="44">VLOOKUP(E46,$T$4:$X$8,5,FALSE)</f>
        <v>10</v>
      </c>
      <c r="M47" s="7" t="str">
        <f t="shared" ref="M47" si="45">IF(F47="","",IF(G47&gt;$F$11,"менее "&amp;L47,IF(G47&lt;$F$15,"более "&amp;$B$15*K46,IF(I47*K46&lt;L47,"менее "&amp;L47,I47*K46))))</f>
        <v/>
      </c>
      <c r="N47" s="22">
        <f>VLOOKUP(E46,$T$4:$W$8,3,FALSE)</f>
        <v>24</v>
      </c>
      <c r="O47" s="89"/>
      <c r="P47" s="84"/>
      <c r="Q47" s="87"/>
      <c r="R47" s="45"/>
      <c r="S47" s="27"/>
      <c r="T47" s="28"/>
      <c r="U47" s="27"/>
    </row>
    <row r="48" spans="1:21" ht="15" customHeight="1" x14ac:dyDescent="0.25">
      <c r="A48" s="65">
        <v>9</v>
      </c>
      <c r="B48" s="58"/>
      <c r="C48" s="59"/>
      <c r="D48" s="60"/>
      <c r="E48" s="71" t="s">
        <v>20</v>
      </c>
      <c r="F48" s="50"/>
      <c r="G48" s="14" t="str">
        <f t="shared" si="15"/>
        <v/>
      </c>
      <c r="H48" s="69" t="str">
        <f>IF(OR(F49="",F48=""),"",STDEV(F48:F49)/AVERAGE(F48:F49))</f>
        <v/>
      </c>
      <c r="I48" s="15" t="str">
        <f t="shared" si="3"/>
        <v/>
      </c>
      <c r="J48" s="79" t="str">
        <f>IF(OR(F48="",F49=""),"",IF(OR(G48&gt;$F$11,G49&gt;$F$11),"менее "&amp;$B$11,IF(OR(G48&lt;$F$15,G49&lt;$F$15),"более "&amp;$B$15,AVERAGE(I48:I49))))</f>
        <v/>
      </c>
      <c r="K48" s="81">
        <f>VLOOKUP(E48,$T$3:$W$8,2,FALSE)</f>
        <v>21.25</v>
      </c>
      <c r="L48" s="51">
        <f t="shared" ref="L48" si="46">VLOOKUP(E48,$T$4:$X$8,5,FALSE)</f>
        <v>2.5</v>
      </c>
      <c r="M48" s="7" t="str">
        <f t="shared" ref="M48" si="47">IF(F48="","",IF(G48&gt;$F$11,"менее "&amp;L48,IF(G48&lt;$F$15,"более "&amp;$B$15*K48,IF(I48*K48&lt;L48,"менее "&amp;L48,I48*K48))))</f>
        <v/>
      </c>
      <c r="N48" s="21" t="e">
        <f t="shared" ref="N48" si="48">ABS(M48-M49)</f>
        <v>#VALUE!</v>
      </c>
      <c r="O48" s="88" t="str">
        <f>IF(F48="","",IF(0.01*P48*N49&gt;N48,"приемлемо","неприемлемо"))</f>
        <v/>
      </c>
      <c r="P48" s="83" t="str">
        <f t="shared" ref="P48" si="49">IF(OR(M48="",M49=""),"",IF(OR(M48="менее 10",M48="менее 2,5",M48="менее 20",M49="менее 10",M49="менее 2,5",M49="менее 20"),"менее "&amp;L48,IF(OR(G48&lt;$F$15,G49&lt;$F$15),"более "&amp;$B$15*K48,ROUND(AVERAGE(M48:M49),2))))</f>
        <v/>
      </c>
      <c r="Q48" s="86" t="str">
        <f>IF(P48="","",IF(P48="более "&amp;$B$15,"",IF(P48="менее "&amp;$B$11,"",0.01*P48*VLOOKUP(E48,$T$4:$W$8,4,FALSE))))</f>
        <v/>
      </c>
      <c r="R48" s="45"/>
      <c r="S48" s="27"/>
      <c r="T48" s="28"/>
      <c r="U48" s="27"/>
    </row>
    <row r="49" spans="1:21" ht="15" customHeight="1" x14ac:dyDescent="0.25">
      <c r="A49" s="68"/>
      <c r="B49" s="61"/>
      <c r="C49" s="62"/>
      <c r="D49" s="63"/>
      <c r="E49" s="72"/>
      <c r="F49" s="26"/>
      <c r="G49" s="14" t="str">
        <f t="shared" si="15"/>
        <v/>
      </c>
      <c r="H49" s="70" t="str">
        <f>IF(F49=G49,"0,0%",STDEV(F49:G49)/AVERAGE(F49:G49))</f>
        <v>0,0%</v>
      </c>
      <c r="I49" s="15" t="str">
        <f t="shared" si="3"/>
        <v/>
      </c>
      <c r="J49" s="80"/>
      <c r="K49" s="82"/>
      <c r="L49" s="51">
        <f t="shared" ref="L49" si="50">VLOOKUP(E48,$T$4:$X$8,5,FALSE)</f>
        <v>2.5</v>
      </c>
      <c r="M49" s="7" t="str">
        <f t="shared" ref="M49" si="51">IF(F49="","",IF(G49&gt;$F$11,"менее "&amp;L49,IF(G49&lt;$F$15,"более "&amp;$B$15*K48,IF(I49*K48&lt;L49,"менее "&amp;L49,I49*K48))))</f>
        <v/>
      </c>
      <c r="N49" s="22">
        <f>VLOOKUP(E48,$T$4:$W$8,3,FALSE)</f>
        <v>19</v>
      </c>
      <c r="O49" s="89"/>
      <c r="P49" s="84"/>
      <c r="Q49" s="87"/>
      <c r="R49" s="45"/>
      <c r="S49" s="27"/>
      <c r="T49" s="27"/>
      <c r="U49" s="27"/>
    </row>
    <row r="50" spans="1:21" ht="15" customHeight="1" x14ac:dyDescent="0.25">
      <c r="A50" s="65">
        <v>10</v>
      </c>
      <c r="B50" s="58"/>
      <c r="C50" s="59"/>
      <c r="D50" s="60"/>
      <c r="E50" s="71" t="s">
        <v>21</v>
      </c>
      <c r="F50" s="50"/>
      <c r="G50" s="16" t="str">
        <f t="shared" si="15"/>
        <v/>
      </c>
      <c r="H50" s="69" t="str">
        <f>IF(OR(F51="",F50=""),"",STDEV(F50:F51)/AVERAGE(F50:F51))</f>
        <v/>
      </c>
      <c r="I50" s="15" t="str">
        <f t="shared" si="3"/>
        <v/>
      </c>
      <c r="J50" s="79" t="str">
        <f>IF(OR(F50="",F51=""),"",IF(OR(G50&gt;$F$11,G51&gt;$F$11),"менее "&amp;$B$11,IF(OR(G50&lt;$F$15,G51&lt;$F$15),"более "&amp;$B$15,AVERAGE(I50:I51))))</f>
        <v/>
      </c>
      <c r="K50" s="81">
        <f>VLOOKUP(E50,$T$3:$W$8,2,FALSE)</f>
        <v>100</v>
      </c>
      <c r="L50" s="51">
        <f t="shared" ref="L50" si="52">VLOOKUP(E50,$T$4:$X$8,5,FALSE)</f>
        <v>10</v>
      </c>
      <c r="M50" s="7" t="str">
        <f t="shared" ref="M50" si="53">IF(F50="","",IF(G50&gt;$F$11,"менее "&amp;L50,IF(G50&lt;$F$15,"более "&amp;$B$15*K50,IF(I50*K50&lt;L50,"менее "&amp;L50,I50*K50))))</f>
        <v/>
      </c>
      <c r="N50" s="21" t="e">
        <f t="shared" ref="N50" si="54">ABS(M50-M51)</f>
        <v>#VALUE!</v>
      </c>
      <c r="O50" s="88" t="str">
        <f>IF(F50="","",IF(0.01*P50*N51&gt;N50,"приемлемо","неприемлемо"))</f>
        <v/>
      </c>
      <c r="P50" s="83" t="str">
        <f t="shared" ref="P50" si="55">IF(OR(M50="",M51=""),"",IF(OR(M50="менее 10",M50="менее 2,5",M50="менее 20",M51="менее 10",M51="менее 2,5",M51="менее 20"),"менее "&amp;L50,IF(OR(G50&lt;$F$15,G51&lt;$F$15),"более "&amp;$B$15*K50,ROUND(AVERAGE(M50:M51),2))))</f>
        <v/>
      </c>
      <c r="Q50" s="86" t="str">
        <f>IF(P50="","",IF(P50="более "&amp;$B$15,"",IF(P50="менее "&amp;$B$11,"",0.01*P50*VLOOKUP(E50,$T$4:$W$8,4,FALSE))))</f>
        <v/>
      </c>
      <c r="R50" s="45"/>
      <c r="S50" s="27"/>
      <c r="T50" s="27"/>
      <c r="U50" s="27"/>
    </row>
    <row r="51" spans="1:21" ht="15" customHeight="1" x14ac:dyDescent="0.25">
      <c r="A51" s="68"/>
      <c r="B51" s="61"/>
      <c r="C51" s="62"/>
      <c r="D51" s="63"/>
      <c r="E51" s="72"/>
      <c r="F51" s="26"/>
      <c r="G51" s="16" t="str">
        <f t="shared" si="15"/>
        <v/>
      </c>
      <c r="H51" s="70" t="str">
        <f>IF(F51=G51,"0,0%",STDEV(F51:G51)/AVERAGE(F51:G51))</f>
        <v>0,0%</v>
      </c>
      <c r="I51" s="15" t="str">
        <f t="shared" si="3"/>
        <v/>
      </c>
      <c r="J51" s="80"/>
      <c r="K51" s="82"/>
      <c r="L51" s="51">
        <f t="shared" ref="L51" si="56">VLOOKUP(E50,$T$4:$X$8,5,FALSE)</f>
        <v>10</v>
      </c>
      <c r="M51" s="7" t="str">
        <f t="shared" ref="M51" si="57">IF(F51="","",IF(G51&gt;$F$11,"менее "&amp;L51,IF(G51&lt;$F$15,"более "&amp;$B$15*K50,IF(I51*K50&lt;L51,"менее "&amp;L51,I51*K50))))</f>
        <v/>
      </c>
      <c r="N51" s="22">
        <f>VLOOKUP(E50,$T$4:$W$8,3,FALSE)</f>
        <v>24</v>
      </c>
      <c r="O51" s="89"/>
      <c r="P51" s="84"/>
      <c r="Q51" s="87"/>
      <c r="R51" s="45"/>
      <c r="S51" s="27"/>
      <c r="T51" s="27"/>
      <c r="U51" s="27"/>
    </row>
    <row r="52" spans="1:21" ht="15" customHeight="1" x14ac:dyDescent="0.25">
      <c r="A52" s="65">
        <v>11</v>
      </c>
      <c r="B52" s="58"/>
      <c r="C52" s="59"/>
      <c r="D52" s="60"/>
      <c r="E52" s="71" t="s">
        <v>24</v>
      </c>
      <c r="F52" s="50"/>
      <c r="G52" s="16" t="str">
        <f t="shared" si="15"/>
        <v/>
      </c>
      <c r="H52" s="69" t="str">
        <f>IF(OR(F53="",F52=""),"",STDEV(F52:F53)/AVERAGE(F52:F53))</f>
        <v/>
      </c>
      <c r="I52" s="15" t="str">
        <f t="shared" si="3"/>
        <v/>
      </c>
      <c r="J52" s="79" t="str">
        <f>IF(OR(F52="",F53=""),"",IF(OR(G52&gt;$F$11,G53&gt;$F$11),"менее "&amp;$B$11,IF(OR(G52&lt;$F$15,G53&lt;$F$15),"более "&amp;$B$15,AVERAGE(I52:I53))))</f>
        <v/>
      </c>
      <c r="K52" s="81">
        <f>VLOOKUP(E52,$T$3:$W$8,2,FALSE)</f>
        <v>200</v>
      </c>
      <c r="L52" s="51">
        <f t="shared" ref="L52" si="58">VLOOKUP(E52,$T$4:$X$8,5,FALSE)</f>
        <v>20</v>
      </c>
      <c r="M52" s="7" t="str">
        <f t="shared" ref="M52" si="59">IF(F52="","",IF(G52&gt;$F$11,"менее "&amp;L52,IF(G52&lt;$F$15,"более "&amp;$B$15*K52,IF(I52*K52&lt;L52,"менее "&amp;L52,I52*K52))))</f>
        <v/>
      </c>
      <c r="N52" s="21" t="e">
        <f t="shared" ref="N52" si="60">ABS(M52-M53)</f>
        <v>#VALUE!</v>
      </c>
      <c r="O52" s="88" t="str">
        <f>IF(F52="","",IF(0.01*P52*N53&gt;N52,"приемлемо","неприемлемо"))</f>
        <v/>
      </c>
      <c r="P52" s="83" t="str">
        <f t="shared" ref="P52" si="61">IF(OR(M52="",M53=""),"",IF(OR(M52="менее 10",M52="менее 2,5",M52="менее 20",M53="менее 10",M53="менее 2,5",M53="менее 20"),"менее "&amp;L52,IF(OR(G52&lt;$F$15,G53&lt;$F$15),"более "&amp;$B$15*K52,ROUND(AVERAGE(M52:M53),2))))</f>
        <v/>
      </c>
      <c r="Q52" s="86" t="str">
        <f>IF(P52="","",IF(P52="более "&amp;$B$15,"",IF(P52="менее "&amp;$B$11,"",0.01*P52*VLOOKUP(E52,$T$4:$W$8,4,FALSE))))</f>
        <v/>
      </c>
      <c r="R52" s="45"/>
      <c r="S52" s="27"/>
      <c r="T52" s="27"/>
      <c r="U52" s="27"/>
    </row>
    <row r="53" spans="1:21" ht="15" customHeight="1" x14ac:dyDescent="0.25">
      <c r="A53" s="68"/>
      <c r="B53" s="61"/>
      <c r="C53" s="62"/>
      <c r="D53" s="63"/>
      <c r="E53" s="72"/>
      <c r="F53" s="26"/>
      <c r="G53" s="16" t="str">
        <f t="shared" si="15"/>
        <v/>
      </c>
      <c r="H53" s="70" t="str">
        <f>IF(F53=G53,"0,0%",STDEV(F53:G53)/AVERAGE(F53:G53))</f>
        <v>0,0%</v>
      </c>
      <c r="I53" s="15" t="str">
        <f t="shared" si="3"/>
        <v/>
      </c>
      <c r="J53" s="80"/>
      <c r="K53" s="82"/>
      <c r="L53" s="51">
        <f t="shared" ref="L53" si="62">VLOOKUP(E52,$T$4:$X$8,5,FALSE)</f>
        <v>20</v>
      </c>
      <c r="M53" s="7" t="str">
        <f t="shared" ref="M53" si="63">IF(F53="","",IF(G53&gt;$F$11,"менее "&amp;L53,IF(G53&lt;$F$15,"более "&amp;$B$15*K52,IF(I53*K52&lt;L53,"менее "&amp;L53,I53*K52))))</f>
        <v/>
      </c>
      <c r="N53" s="22">
        <f>VLOOKUP(E52,$T$4:$W$8,3,FALSE)</f>
        <v>21</v>
      </c>
      <c r="O53" s="89"/>
      <c r="P53" s="84"/>
      <c r="Q53" s="87"/>
      <c r="R53" s="45"/>
      <c r="S53" s="27"/>
      <c r="T53" s="27"/>
      <c r="U53" s="27"/>
    </row>
    <row r="54" spans="1:21" ht="15" customHeight="1" x14ac:dyDescent="0.25">
      <c r="A54" s="65">
        <v>12</v>
      </c>
      <c r="B54" s="58"/>
      <c r="C54" s="59"/>
      <c r="D54" s="60"/>
      <c r="E54" s="71" t="s">
        <v>22</v>
      </c>
      <c r="F54" s="50"/>
      <c r="G54" s="16" t="str">
        <f t="shared" si="15"/>
        <v/>
      </c>
      <c r="H54" s="69" t="str">
        <f>IF(OR(F55="",F54=""),"",STDEV(F54:F55)/AVERAGE(F54:F55))</f>
        <v/>
      </c>
      <c r="I54" s="15" t="str">
        <f t="shared" si="3"/>
        <v/>
      </c>
      <c r="J54" s="79" t="str">
        <f>IF(OR(F54="",F55=""),"",IF(OR(G54&gt;$F$11,G55&gt;$F$11),"менее "&amp;$B$11,IF(OR(G54&lt;$F$15,G55&lt;$F$15),"более "&amp;$B$15,AVERAGE(I54:I55))))</f>
        <v/>
      </c>
      <c r="K54" s="81">
        <f>VLOOKUP(E54,$T$3:$W$8,2,FALSE)</f>
        <v>100</v>
      </c>
      <c r="L54" s="51">
        <f t="shared" ref="L54" si="64">VLOOKUP(E54,$T$4:$X$8,5,FALSE)</f>
        <v>10</v>
      </c>
      <c r="M54" s="7" t="str">
        <f t="shared" ref="M54" si="65">IF(F54="","",IF(G54&gt;$F$11,"менее "&amp;L54,IF(G54&lt;$F$15,"более "&amp;$B$15*K54,IF(I54*K54&lt;L54,"менее "&amp;L54,I54*K54))))</f>
        <v/>
      </c>
      <c r="N54" s="21" t="e">
        <f t="shared" ref="N54" si="66">ABS(M54-M55)</f>
        <v>#VALUE!</v>
      </c>
      <c r="O54" s="88" t="str">
        <f>IF(F54="","",IF(0.01*P54*N55&gt;N54,"приемлемо","неприемлемо"))</f>
        <v/>
      </c>
      <c r="P54" s="83" t="str">
        <f t="shared" ref="P54" si="67">IF(OR(M54="",M55=""),"",IF(OR(M54="менее 10",M54="менее 2,5",M54="менее 20",M55="менее 10",M55="менее 2,5",M55="менее 20"),"менее "&amp;L54,IF(OR(G54&lt;$F$15,G55&lt;$F$15),"более "&amp;$B$15*K54,ROUND(AVERAGE(M54:M55),2))))</f>
        <v/>
      </c>
      <c r="Q54" s="86" t="str">
        <f>IF(P54="","",IF(P54="более "&amp;$B$15,"",IF(P54="менее "&amp;$B$11,"",0.01*P54*VLOOKUP(E54,$T$4:$W$8,4,FALSE))))</f>
        <v/>
      </c>
      <c r="R54" s="45"/>
    </row>
    <row r="55" spans="1:21" ht="15" customHeight="1" x14ac:dyDescent="0.25">
      <c r="A55" s="68"/>
      <c r="B55" s="61"/>
      <c r="C55" s="62"/>
      <c r="D55" s="63"/>
      <c r="E55" s="72"/>
      <c r="F55" s="26"/>
      <c r="G55" s="16" t="str">
        <f t="shared" si="15"/>
        <v/>
      </c>
      <c r="H55" s="70" t="str">
        <f>IF(F55=G55,"0,0%",STDEV(F55:G55)/AVERAGE(F55:G55))</f>
        <v>0,0%</v>
      </c>
      <c r="I55" s="15" t="str">
        <f t="shared" si="3"/>
        <v/>
      </c>
      <c r="J55" s="80"/>
      <c r="K55" s="82"/>
      <c r="L55" s="51">
        <f t="shared" ref="L55" si="68">VLOOKUP(E54,$T$4:$X$8,5,FALSE)</f>
        <v>10</v>
      </c>
      <c r="M55" s="7" t="str">
        <f t="shared" ref="M55" si="69">IF(F55="","",IF(G55&gt;$F$11,"менее "&amp;L55,IF(G55&lt;$F$15,"более "&amp;$B$15*K54,IF(I55*K54&lt;L55,"менее "&amp;L55,I55*K54))))</f>
        <v/>
      </c>
      <c r="N55" s="22">
        <f>VLOOKUP(E54,$T$4:$W$8,3,FALSE)</f>
        <v>21</v>
      </c>
      <c r="O55" s="89"/>
      <c r="P55" s="84"/>
      <c r="Q55" s="87"/>
      <c r="R55" s="45"/>
    </row>
    <row r="56" spans="1:21" ht="15" customHeight="1" x14ac:dyDescent="0.25">
      <c r="A56" s="65">
        <v>13</v>
      </c>
      <c r="B56" s="58"/>
      <c r="C56" s="59"/>
      <c r="D56" s="60"/>
      <c r="E56" s="71" t="s">
        <v>20</v>
      </c>
      <c r="F56" s="50"/>
      <c r="G56" s="16" t="str">
        <f t="shared" si="15"/>
        <v/>
      </c>
      <c r="H56" s="69" t="str">
        <f>IF(OR(F57="",F56=""),"",STDEV(F56:F57)/AVERAGE(F56:F57))</f>
        <v/>
      </c>
      <c r="I56" s="15" t="str">
        <f t="shared" si="3"/>
        <v/>
      </c>
      <c r="J56" s="79" t="str">
        <f>IF(OR(F56="",F57=""),"",IF(OR(G56&gt;$F$11,G57&gt;$F$11),"менее "&amp;$B$11,IF(OR(G56&lt;$F$15,G57&lt;$F$15),"более "&amp;$B$15,AVERAGE(I56:I57))))</f>
        <v/>
      </c>
      <c r="K56" s="81">
        <f>VLOOKUP(E56,$T$3:$W$8,2,FALSE)</f>
        <v>21.25</v>
      </c>
      <c r="L56" s="51">
        <f t="shared" ref="L56" si="70">VLOOKUP(E56,$T$4:$X$8,5,FALSE)</f>
        <v>2.5</v>
      </c>
      <c r="M56" s="7" t="str">
        <f t="shared" ref="M56" si="71">IF(F56="","",IF(G56&gt;$F$11,"менее "&amp;L56,IF(G56&lt;$F$15,"более "&amp;$B$15*K56,IF(I56*K56&lt;L56,"менее "&amp;L56,I56*K56))))</f>
        <v/>
      </c>
      <c r="N56" s="21" t="e">
        <f t="shared" ref="N56" si="72">ABS(M56-M57)</f>
        <v>#VALUE!</v>
      </c>
      <c r="O56" s="88" t="str">
        <f>IF(F56="","",IF(0.01*P56*N57&gt;N56,"приемлемо","неприемлемо"))</f>
        <v/>
      </c>
      <c r="P56" s="83" t="str">
        <f t="shared" ref="P56" si="73">IF(OR(M56="",M57=""),"",IF(OR(M56="менее 10",M56="менее 2,5",M56="менее 20",M57="менее 10",M57="менее 2,5",M57="менее 20"),"менее "&amp;L56,IF(OR(G56&lt;$F$15,G57&lt;$F$15),"более "&amp;$B$15*K56,ROUND(AVERAGE(M56:M57),2))))</f>
        <v/>
      </c>
      <c r="Q56" s="86" t="str">
        <f>IF(P56="","",IF(P56="более "&amp;$B$15,"",IF(P56="менее "&amp;$B$11,"",0.01*P56*VLOOKUP(E56,$T$4:$W$8,4,FALSE))))</f>
        <v/>
      </c>
      <c r="R56" s="45"/>
    </row>
    <row r="57" spans="1:21" ht="15" customHeight="1" x14ac:dyDescent="0.25">
      <c r="A57" s="68"/>
      <c r="B57" s="61"/>
      <c r="C57" s="62"/>
      <c r="D57" s="63"/>
      <c r="E57" s="72"/>
      <c r="F57" s="26"/>
      <c r="G57" s="16" t="str">
        <f t="shared" si="15"/>
        <v/>
      </c>
      <c r="H57" s="70" t="str">
        <f>IF(F57=G57,"0,0%",STDEV(F57:G57)/AVERAGE(F57:G57))</f>
        <v>0,0%</v>
      </c>
      <c r="I57" s="15" t="str">
        <f t="shared" si="3"/>
        <v/>
      </c>
      <c r="J57" s="80"/>
      <c r="K57" s="82"/>
      <c r="L57" s="51">
        <f t="shared" ref="L57" si="74">VLOOKUP(E56,$T$4:$X$8,5,FALSE)</f>
        <v>2.5</v>
      </c>
      <c r="M57" s="7" t="str">
        <f t="shared" ref="M57" si="75">IF(F57="","",IF(G57&gt;$F$11,"менее "&amp;L57,IF(G57&lt;$F$15,"более "&amp;$B$15*K56,IF(I57*K56&lt;L57,"менее "&amp;L57,I57*K56))))</f>
        <v/>
      </c>
      <c r="N57" s="22">
        <f>VLOOKUP(E56,$T$4:$W$8,3,FALSE)</f>
        <v>19</v>
      </c>
      <c r="O57" s="89"/>
      <c r="P57" s="84"/>
      <c r="Q57" s="87"/>
      <c r="R57" s="45"/>
    </row>
    <row r="58" spans="1:21" ht="15" customHeight="1" x14ac:dyDescent="0.25">
      <c r="A58" s="65">
        <v>14</v>
      </c>
      <c r="B58" s="58"/>
      <c r="C58" s="59"/>
      <c r="D58" s="60"/>
      <c r="E58" s="71" t="s">
        <v>21</v>
      </c>
      <c r="F58" s="50"/>
      <c r="G58" s="16" t="str">
        <f t="shared" si="15"/>
        <v/>
      </c>
      <c r="H58" s="69" t="str">
        <f>IF(OR(F59="",F58=""),"",STDEV(F58:F59)/AVERAGE(F58:F59))</f>
        <v/>
      </c>
      <c r="I58" s="15" t="str">
        <f t="shared" si="3"/>
        <v/>
      </c>
      <c r="J58" s="79" t="str">
        <f>IF(OR(F58="",F59=""),"",IF(OR(G58&gt;$F$11,G59&gt;$F$11),"менее "&amp;$B$11,IF(OR(G58&lt;$F$15,G59&lt;$F$15),"более "&amp;$B$15,AVERAGE(I58:I59))))</f>
        <v/>
      </c>
      <c r="K58" s="81">
        <f>VLOOKUP(E58,$T$3:$W$8,2,FALSE)</f>
        <v>100</v>
      </c>
      <c r="L58" s="51">
        <f t="shared" ref="L58" si="76">VLOOKUP(E58,$T$4:$X$8,5,FALSE)</f>
        <v>10</v>
      </c>
      <c r="M58" s="7" t="str">
        <f t="shared" ref="M58" si="77">IF(F58="","",IF(G58&gt;$F$11,"менее "&amp;L58,IF(G58&lt;$F$15,"более "&amp;$B$15*K58,IF(I58*K58&lt;L58,"менее "&amp;L58,I58*K58))))</f>
        <v/>
      </c>
      <c r="N58" s="21" t="e">
        <f t="shared" ref="N58" si="78">ABS(M58-M59)</f>
        <v>#VALUE!</v>
      </c>
      <c r="O58" s="88" t="str">
        <f>IF(F58="","",IF(0.01*P58*N59&gt;N58,"приемлемо","неприемлемо"))</f>
        <v/>
      </c>
      <c r="P58" s="83" t="str">
        <f t="shared" ref="P58" si="79">IF(OR(M58="",M59=""),"",IF(OR(M58="менее 10",M58="менее 2,5",M58="менее 20",M59="менее 10",M59="менее 2,5",M59="менее 20"),"менее "&amp;L58,IF(OR(G58&lt;$F$15,G59&lt;$F$15),"более "&amp;$B$15*K58,ROUND(AVERAGE(M58:M59),2))))</f>
        <v/>
      </c>
      <c r="Q58" s="86" t="str">
        <f>IF(P58="","",IF(P58="более "&amp;$B$15,"",IF(P58="менее "&amp;$B$11,"",0.01*P58*VLOOKUP(E58,$T$4:$W$8,4,FALSE))))</f>
        <v/>
      </c>
      <c r="R58" s="45"/>
    </row>
    <row r="59" spans="1:21" ht="15" customHeight="1" x14ac:dyDescent="0.25">
      <c r="A59" s="68"/>
      <c r="B59" s="61"/>
      <c r="C59" s="62"/>
      <c r="D59" s="63"/>
      <c r="E59" s="72"/>
      <c r="F59" s="26"/>
      <c r="G59" s="16" t="str">
        <f t="shared" si="15"/>
        <v/>
      </c>
      <c r="H59" s="70" t="str">
        <f>IF(F59=G59,"0,0%",STDEV(F59:G59)/AVERAGE(F59:G59))</f>
        <v>0,0%</v>
      </c>
      <c r="I59" s="15" t="str">
        <f t="shared" si="3"/>
        <v/>
      </c>
      <c r="J59" s="80"/>
      <c r="K59" s="82"/>
      <c r="L59" s="51">
        <f t="shared" ref="L59" si="80">VLOOKUP(E58,$T$4:$X$8,5,FALSE)</f>
        <v>10</v>
      </c>
      <c r="M59" s="7" t="str">
        <f t="shared" ref="M59" si="81">IF(F59="","",IF(G59&gt;$F$11,"менее "&amp;L59,IF(G59&lt;$F$15,"более "&amp;$B$15*K58,IF(I59*K58&lt;L59,"менее "&amp;L59,I59*K58))))</f>
        <v/>
      </c>
      <c r="N59" s="22">
        <f>VLOOKUP(E58,$T$4:$W$8,3,FALSE)</f>
        <v>24</v>
      </c>
      <c r="O59" s="89"/>
      <c r="P59" s="84"/>
      <c r="Q59" s="87"/>
      <c r="R59" s="45"/>
    </row>
    <row r="60" spans="1:21" ht="15" customHeight="1" x14ac:dyDescent="0.25">
      <c r="A60" s="65">
        <v>15</v>
      </c>
      <c r="B60" s="58"/>
      <c r="C60" s="59"/>
      <c r="D60" s="60"/>
      <c r="E60" s="71" t="s">
        <v>20</v>
      </c>
      <c r="F60" s="50"/>
      <c r="G60" s="16" t="str">
        <f t="shared" si="15"/>
        <v/>
      </c>
      <c r="H60" s="69" t="str">
        <f>IF(OR(F61="",F60=""),"",STDEV(F60:F61)/AVERAGE(F60:F61))</f>
        <v/>
      </c>
      <c r="I60" s="15" t="str">
        <f t="shared" si="3"/>
        <v/>
      </c>
      <c r="J60" s="79" t="str">
        <f>IF(OR(F60="",F61=""),"",IF(OR(G60&gt;$F$11,G61&gt;$F$11),"менее "&amp;$B$11,IF(OR(G60&lt;$F$15,G61&lt;$F$15),"более "&amp;$B$15,AVERAGE(I60:I61))))</f>
        <v/>
      </c>
      <c r="K60" s="81">
        <f>VLOOKUP(E60,$T$3:$W$8,2,FALSE)</f>
        <v>21.25</v>
      </c>
      <c r="L60" s="51">
        <f t="shared" ref="L60" si="82">VLOOKUP(E60,$T$4:$X$8,5,FALSE)</f>
        <v>2.5</v>
      </c>
      <c r="M60" s="7" t="str">
        <f t="shared" ref="M60" si="83">IF(F60="","",IF(G60&gt;$F$11,"менее "&amp;L60,IF(G60&lt;$F$15,"более "&amp;$B$15*K60,IF(I60*K60&lt;L60,"менее "&amp;L60,I60*K60))))</f>
        <v/>
      </c>
      <c r="N60" s="21" t="e">
        <f t="shared" ref="N60" si="84">ABS(M60-M61)</f>
        <v>#VALUE!</v>
      </c>
      <c r="O60" s="88" t="str">
        <f>IF(F60="","",IF(0.01*P60*N61&gt;N60,"приемлемо","неприемлемо"))</f>
        <v/>
      </c>
      <c r="P60" s="83" t="str">
        <f t="shared" ref="P60" si="85">IF(OR(M60="",M61=""),"",IF(OR(M60="менее 10",M60="менее 2,5",M60="менее 20",M61="менее 10",M61="менее 2,5",M61="менее 20"),"менее "&amp;L60,IF(OR(G60&lt;$F$15,G61&lt;$F$15),"более "&amp;$B$15*K60,ROUND(AVERAGE(M60:M61),2))))</f>
        <v/>
      </c>
      <c r="Q60" s="86" t="str">
        <f>IF(P60="","",IF(P60="более "&amp;$B$15,"",IF(P60="менее "&amp;$B$11,"",0.01*P60*VLOOKUP(E60,$T$4:$W$8,4,FALSE))))</f>
        <v/>
      </c>
      <c r="R60" s="45"/>
    </row>
    <row r="61" spans="1:21" ht="15" customHeight="1" x14ac:dyDescent="0.25">
      <c r="A61" s="68"/>
      <c r="B61" s="61"/>
      <c r="C61" s="62"/>
      <c r="D61" s="63"/>
      <c r="E61" s="72"/>
      <c r="F61" s="26"/>
      <c r="G61" s="16" t="str">
        <f t="shared" si="15"/>
        <v/>
      </c>
      <c r="H61" s="70" t="str">
        <f>IF(F61=G61,"0,0%",STDEV(F61:G61)/AVERAGE(F61:G61))</f>
        <v>0,0%</v>
      </c>
      <c r="I61" s="15" t="str">
        <f t="shared" si="3"/>
        <v/>
      </c>
      <c r="J61" s="80"/>
      <c r="K61" s="82"/>
      <c r="L61" s="51">
        <f t="shared" ref="L61" si="86">VLOOKUP(E60,$T$4:$X$8,5,FALSE)</f>
        <v>2.5</v>
      </c>
      <c r="M61" s="7" t="str">
        <f t="shared" ref="M61" si="87">IF(F61="","",IF(G61&gt;$F$11,"менее "&amp;L61,IF(G61&lt;$F$15,"более "&amp;$B$15*K60,IF(I61*K60&lt;L61,"менее "&amp;L61,I61*K60))))</f>
        <v/>
      </c>
      <c r="N61" s="22">
        <f>VLOOKUP(E60,$T$4:$W$8,3,FALSE)</f>
        <v>19</v>
      </c>
      <c r="O61" s="89"/>
      <c r="P61" s="84"/>
      <c r="Q61" s="87"/>
      <c r="R61" s="45"/>
    </row>
    <row r="62" spans="1:21" ht="15" customHeight="1" x14ac:dyDescent="0.25">
      <c r="A62" s="65">
        <v>16</v>
      </c>
      <c r="B62" s="58"/>
      <c r="C62" s="59"/>
      <c r="D62" s="60"/>
      <c r="E62" s="71" t="s">
        <v>24</v>
      </c>
      <c r="F62" s="50"/>
      <c r="G62" s="16" t="str">
        <f t="shared" si="15"/>
        <v/>
      </c>
      <c r="H62" s="69" t="str">
        <f>IF(OR(F63="",F62=""),"",STDEV(F62:F63)/AVERAGE(F62:F63))</f>
        <v/>
      </c>
      <c r="I62" s="15" t="str">
        <f t="shared" si="3"/>
        <v/>
      </c>
      <c r="J62" s="79" t="str">
        <f>IF(OR(F62="",F63=""),"",IF(OR(G62&gt;$F$11,G63&gt;$F$11),"менее "&amp;$B$11,IF(OR(G62&lt;$F$15,G63&lt;$F$15),"более "&amp;$B$15,AVERAGE(I62:I63))))</f>
        <v/>
      </c>
      <c r="K62" s="81">
        <f>VLOOKUP(E62,$T$3:$W$8,2,FALSE)</f>
        <v>200</v>
      </c>
      <c r="L62" s="51">
        <f t="shared" ref="L62" si="88">VLOOKUP(E62,$T$4:$X$8,5,FALSE)</f>
        <v>20</v>
      </c>
      <c r="M62" s="7" t="str">
        <f t="shared" ref="M62" si="89">IF(F62="","",IF(G62&gt;$F$11,"менее "&amp;L62,IF(G62&lt;$F$15,"более "&amp;$B$15*K62,IF(I62*K62&lt;L62,"менее "&amp;L62,I62*K62))))</f>
        <v/>
      </c>
      <c r="N62" s="21" t="e">
        <f t="shared" ref="N62" si="90">ABS(M62-M63)</f>
        <v>#VALUE!</v>
      </c>
      <c r="O62" s="88" t="str">
        <f>IF(F62="","",IF(0.01*P62*N63&gt;N62,"приемлемо","неприемлемо"))</f>
        <v/>
      </c>
      <c r="P62" s="83" t="str">
        <f t="shared" ref="P62" si="91">IF(OR(M62="",M63=""),"",IF(OR(M62="менее 10",M62="менее 2,5",M62="менее 20",M63="менее 10",M63="менее 2,5",M63="менее 20"),"менее "&amp;L62,IF(OR(G62&lt;$F$15,G63&lt;$F$15),"более "&amp;$B$15*K62,ROUND(AVERAGE(M62:M63),2))))</f>
        <v/>
      </c>
      <c r="Q62" s="86" t="str">
        <f>IF(P62="","",IF(P62="более "&amp;$B$15,"",IF(P62="менее "&amp;$B$11,"",0.01*P62*VLOOKUP(E62,$T$4:$W$8,4,FALSE))))</f>
        <v/>
      </c>
      <c r="R62" s="45"/>
    </row>
    <row r="63" spans="1:21" ht="15" customHeight="1" x14ac:dyDescent="0.25">
      <c r="A63" s="68"/>
      <c r="B63" s="61"/>
      <c r="C63" s="62"/>
      <c r="D63" s="63"/>
      <c r="E63" s="72"/>
      <c r="F63" s="26"/>
      <c r="G63" s="16" t="str">
        <f t="shared" si="15"/>
        <v/>
      </c>
      <c r="H63" s="70" t="str">
        <f>IF(F63=G63,"0,0%",STDEV(F63:G63)/AVERAGE(F63:G63))</f>
        <v>0,0%</v>
      </c>
      <c r="I63" s="15" t="str">
        <f t="shared" si="3"/>
        <v/>
      </c>
      <c r="J63" s="80"/>
      <c r="K63" s="82"/>
      <c r="L63" s="51">
        <f t="shared" ref="L63" si="92">VLOOKUP(E62,$T$4:$X$8,5,FALSE)</f>
        <v>20</v>
      </c>
      <c r="M63" s="7" t="str">
        <f t="shared" ref="M63" si="93">IF(F63="","",IF(G63&gt;$F$11,"менее "&amp;L63,IF(G63&lt;$F$15,"более "&amp;$B$15*K62,IF(I63*K62&lt;L63,"менее "&amp;L63,I63*K62))))</f>
        <v/>
      </c>
      <c r="N63" s="22">
        <f>VLOOKUP(E62,$T$4:$W$8,3,FALSE)</f>
        <v>21</v>
      </c>
      <c r="O63" s="89"/>
      <c r="P63" s="84"/>
      <c r="Q63" s="87"/>
      <c r="R63" s="45"/>
    </row>
    <row r="64" spans="1:21" ht="15" customHeight="1" x14ac:dyDescent="0.25">
      <c r="A64" s="65">
        <v>17</v>
      </c>
      <c r="B64" s="58"/>
      <c r="C64" s="59"/>
      <c r="D64" s="60"/>
      <c r="E64" s="71" t="s">
        <v>22</v>
      </c>
      <c r="F64" s="50"/>
      <c r="G64" s="16" t="str">
        <f t="shared" si="15"/>
        <v/>
      </c>
      <c r="H64" s="69" t="str">
        <f>IF(OR(F65="",F64=""),"",STDEV(F64:F65)/AVERAGE(F64:F65))</f>
        <v/>
      </c>
      <c r="I64" s="15" t="str">
        <f t="shared" si="3"/>
        <v/>
      </c>
      <c r="J64" s="79" t="str">
        <f>IF(OR(F64="",F65=""),"",IF(OR(G64&gt;$F$11,G65&gt;$F$11),"менее "&amp;$B$11,IF(OR(G64&lt;$F$15,G65&lt;$F$15),"более "&amp;$B$15,AVERAGE(I64:I65))))</f>
        <v/>
      </c>
      <c r="K64" s="81">
        <f>VLOOKUP(E64,$T$3:$W$8,2,FALSE)</f>
        <v>100</v>
      </c>
      <c r="L64" s="51">
        <f t="shared" ref="L64" si="94">VLOOKUP(E64,$T$4:$X$8,5,FALSE)</f>
        <v>10</v>
      </c>
      <c r="M64" s="7" t="str">
        <f t="shared" ref="M64" si="95">IF(F64="","",IF(G64&gt;$F$11,"менее "&amp;L64,IF(G64&lt;$F$15,"более "&amp;$B$15*K64,IF(I64*K64&lt;L64,"менее "&amp;L64,I64*K64))))</f>
        <v/>
      </c>
      <c r="N64" s="21" t="e">
        <f t="shared" ref="N64" si="96">ABS(M64-M65)</f>
        <v>#VALUE!</v>
      </c>
      <c r="O64" s="88" t="str">
        <f>IF(F64="","",IF(0.01*P64*N65&gt;N64,"приемлемо","неприемлемо"))</f>
        <v/>
      </c>
      <c r="P64" s="83" t="str">
        <f t="shared" ref="P64" si="97">IF(OR(M64="",M65=""),"",IF(OR(M64="менее 10",M64="менее 2,5",M64="менее 20",M65="менее 10",M65="менее 2,5",M65="менее 20"),"менее "&amp;L64,IF(OR(G64&lt;$F$15,G65&lt;$F$15),"более "&amp;$B$15*K64,ROUND(AVERAGE(M64:M65),2))))</f>
        <v/>
      </c>
      <c r="Q64" s="86" t="str">
        <f>IF(P64="","",IF(P64="более "&amp;$B$15,"",IF(P64="менее "&amp;$B$11,"",0.01*P64*VLOOKUP(E64,$T$4:$W$8,4,FALSE))))</f>
        <v/>
      </c>
      <c r="R64" s="45"/>
    </row>
    <row r="65" spans="1:21" ht="15" customHeight="1" x14ac:dyDescent="0.25">
      <c r="A65" s="68"/>
      <c r="B65" s="61"/>
      <c r="C65" s="62"/>
      <c r="D65" s="63"/>
      <c r="E65" s="72"/>
      <c r="F65" s="26"/>
      <c r="G65" s="16" t="str">
        <f t="shared" si="15"/>
        <v/>
      </c>
      <c r="H65" s="70" t="str">
        <f>IF(F65=G65,"0,0%",STDEV(F65:G65)/AVERAGE(F65:G65))</f>
        <v>0,0%</v>
      </c>
      <c r="I65" s="15" t="str">
        <f t="shared" si="3"/>
        <v/>
      </c>
      <c r="J65" s="80"/>
      <c r="K65" s="82"/>
      <c r="L65" s="51">
        <f t="shared" ref="L65" si="98">VLOOKUP(E64,$T$4:$X$8,5,FALSE)</f>
        <v>10</v>
      </c>
      <c r="M65" s="7" t="str">
        <f t="shared" ref="M65" si="99">IF(F65="","",IF(G65&gt;$F$11,"менее "&amp;L65,IF(G65&lt;$F$15,"более "&amp;$B$15*K64,IF(I65*K64&lt;L65,"менее "&amp;L65,I65*K64))))</f>
        <v/>
      </c>
      <c r="N65" s="22">
        <f>VLOOKUP(E64,$T$4:$W$8,3,FALSE)</f>
        <v>21</v>
      </c>
      <c r="O65" s="89"/>
      <c r="P65" s="84"/>
      <c r="Q65" s="87"/>
      <c r="R65" s="45"/>
    </row>
    <row r="66" spans="1:21" ht="15" customHeight="1" x14ac:dyDescent="0.25">
      <c r="A66" s="65">
        <v>18</v>
      </c>
      <c r="B66" s="58"/>
      <c r="C66" s="59"/>
      <c r="D66" s="60"/>
      <c r="E66" s="71" t="s">
        <v>21</v>
      </c>
      <c r="F66" s="50"/>
      <c r="G66" s="14" t="str">
        <f t="shared" si="15"/>
        <v/>
      </c>
      <c r="H66" s="90" t="str">
        <f>IF(OR(F67="",F66=""),"",STDEV(F66:F67)/AVERAGE(F66:F67))</f>
        <v/>
      </c>
      <c r="I66" s="15" t="str">
        <f t="shared" si="3"/>
        <v/>
      </c>
      <c r="J66" s="79" t="str">
        <f>IF(OR(F66="",F67=""),"",IF(OR(G66&gt;$F$11,G67&gt;$F$11),"менее "&amp;$B$11,IF(OR(G66&lt;$F$15,G67&lt;$F$15),"более "&amp;$B$15,AVERAGE(I66:I67))))</f>
        <v/>
      </c>
      <c r="K66" s="81">
        <f>VLOOKUP(E66,$T$3:$W$8,2,FALSE)</f>
        <v>100</v>
      </c>
      <c r="L66" s="51">
        <f t="shared" ref="L66" si="100">VLOOKUP(E66,$T$4:$X$8,5,FALSE)</f>
        <v>10</v>
      </c>
      <c r="M66" s="7" t="str">
        <f t="shared" ref="M66" si="101">IF(F66="","",IF(G66&gt;$F$11,"менее "&amp;L66,IF(G66&lt;$F$15,"более "&amp;$B$15*K66,IF(I66*K66&lt;L66,"менее "&amp;L66,I66*K66))))</f>
        <v/>
      </c>
      <c r="N66" s="21" t="e">
        <f t="shared" ref="N66" si="102">ABS(M66-M67)</f>
        <v>#VALUE!</v>
      </c>
      <c r="O66" s="88" t="str">
        <f>IF(F66="","",IF(0.01*P66*N67&gt;N66,"приемлемо","неприемлемо"))</f>
        <v/>
      </c>
      <c r="P66" s="83" t="str">
        <f t="shared" ref="P66" si="103">IF(OR(M66="",M67=""),"",IF(OR(M66="менее 10",M66="менее 2,5",M66="менее 20",M67="менее 10",M67="менее 2,5",M67="менее 20"),"менее "&amp;L66,IF(OR(G66&lt;$F$15,G67&lt;$F$15),"более "&amp;$B$15*K66,ROUND(AVERAGE(M66:M67),2))))</f>
        <v/>
      </c>
      <c r="Q66" s="86" t="str">
        <f>IF(P66="","",IF(P66="более "&amp;$B$15,"",IF(P66="менее "&amp;$B$11,"",0.01*P66*VLOOKUP(E66,$T$4:$W$8,4,FALSE))))</f>
        <v/>
      </c>
      <c r="R66" s="45"/>
    </row>
    <row r="67" spans="1:21" ht="15" customHeight="1" x14ac:dyDescent="0.25">
      <c r="A67" s="68"/>
      <c r="B67" s="61"/>
      <c r="C67" s="62"/>
      <c r="D67" s="63"/>
      <c r="E67" s="72"/>
      <c r="F67" s="26"/>
      <c r="G67" s="14" t="str">
        <f t="shared" si="15"/>
        <v/>
      </c>
      <c r="H67" s="91" t="str">
        <f>IF(F67=G67,"0,0%",STDEV(F67:G67)/AVERAGE(F67:G67))</f>
        <v>0,0%</v>
      </c>
      <c r="I67" s="15" t="str">
        <f t="shared" si="3"/>
        <v/>
      </c>
      <c r="J67" s="80"/>
      <c r="K67" s="82"/>
      <c r="L67" s="51">
        <f t="shared" ref="L67" si="104">VLOOKUP(E66,$T$4:$X$8,5,FALSE)</f>
        <v>10</v>
      </c>
      <c r="M67" s="7" t="str">
        <f t="shared" ref="M67" si="105">IF(F67="","",IF(G67&gt;$F$11,"менее "&amp;L67,IF(G67&lt;$F$15,"более "&amp;$B$15*K66,IF(I67*K66&lt;L67,"менее "&amp;L67,I67*K66))))</f>
        <v/>
      </c>
      <c r="N67" s="22">
        <f>VLOOKUP(E66,$T$4:$W$8,3,FALSE)</f>
        <v>24</v>
      </c>
      <c r="O67" s="89"/>
      <c r="P67" s="84"/>
      <c r="Q67" s="87"/>
      <c r="R67" s="45"/>
    </row>
    <row r="68" spans="1:21" ht="15" customHeight="1" x14ac:dyDescent="0.25">
      <c r="A68" s="65">
        <v>19</v>
      </c>
      <c r="B68" s="58"/>
      <c r="C68" s="59"/>
      <c r="D68" s="60"/>
      <c r="E68" s="71" t="s">
        <v>20</v>
      </c>
      <c r="F68" s="50"/>
      <c r="G68" s="14" t="str">
        <f t="shared" si="15"/>
        <v/>
      </c>
      <c r="H68" s="90" t="str">
        <f>IF(OR(F69="",F68=""),"",STDEV(F68:F69)/AVERAGE(F68:F69))</f>
        <v/>
      </c>
      <c r="I68" s="15" t="str">
        <f t="shared" si="3"/>
        <v/>
      </c>
      <c r="J68" s="79" t="str">
        <f>IF(OR(F68="",F69=""),"",IF(OR(G68&gt;$F$11,G69&gt;$F$11),"менее "&amp;$B$11,IF(OR(G68&lt;$F$15,G69&lt;$F$15),"более "&amp;$B$15,AVERAGE(I68:I69))))</f>
        <v/>
      </c>
      <c r="K68" s="81">
        <f>VLOOKUP(E68,$T$3:$W$8,2,FALSE)</f>
        <v>21.25</v>
      </c>
      <c r="L68" s="51">
        <f t="shared" ref="L68" si="106">VLOOKUP(E68,$T$4:$X$8,5,FALSE)</f>
        <v>2.5</v>
      </c>
      <c r="M68" s="7" t="str">
        <f t="shared" ref="M68" si="107">IF(F68="","",IF(G68&gt;$F$11,"менее "&amp;L68,IF(G68&lt;$F$15,"более "&amp;$B$15*K68,IF(I68*K68&lt;L68,"менее "&amp;L68,I68*K68))))</f>
        <v/>
      </c>
      <c r="N68" s="21" t="e">
        <f t="shared" ref="N68" si="108">ABS(M68-M69)</f>
        <v>#VALUE!</v>
      </c>
      <c r="O68" s="88" t="str">
        <f>IF(F68="","",IF(0.01*P68*N69&gt;N68,"приемлемо","неприемлемо"))</f>
        <v/>
      </c>
      <c r="P68" s="83" t="str">
        <f t="shared" ref="P68" si="109">IF(OR(M68="",M69=""),"",IF(OR(M68="менее 10",M68="менее 2,5",M68="менее 20",M69="менее 10",M69="менее 2,5",M69="менее 20"),"менее "&amp;L68,IF(OR(G68&lt;$F$15,G69&lt;$F$15),"более "&amp;$B$15*K68,ROUND(AVERAGE(M68:M69),2))))</f>
        <v/>
      </c>
      <c r="Q68" s="86" t="str">
        <f>IF(P68="","",IF(P68="более "&amp;$B$15,"",IF(P68="менее "&amp;$B$11,"",0.01*P68*VLOOKUP(E68,$T$4:$W$8,4,FALSE))))</f>
        <v/>
      </c>
      <c r="R68" s="45"/>
    </row>
    <row r="69" spans="1:21" ht="15" customHeight="1" x14ac:dyDescent="0.25">
      <c r="A69" s="68"/>
      <c r="B69" s="61"/>
      <c r="C69" s="62"/>
      <c r="D69" s="63"/>
      <c r="E69" s="72"/>
      <c r="F69" s="26"/>
      <c r="G69" s="14" t="str">
        <f t="shared" si="15"/>
        <v/>
      </c>
      <c r="H69" s="91" t="str">
        <f>IF(F69=G69,"0,0%",STDEV(F69:G69)/AVERAGE(F69:G69))</f>
        <v>0,0%</v>
      </c>
      <c r="I69" s="15" t="str">
        <f t="shared" si="3"/>
        <v/>
      </c>
      <c r="J69" s="80"/>
      <c r="K69" s="82"/>
      <c r="L69" s="51">
        <f t="shared" ref="L69" si="110">VLOOKUP(E68,$T$4:$X$8,5,FALSE)</f>
        <v>2.5</v>
      </c>
      <c r="M69" s="7" t="str">
        <f t="shared" ref="M69" si="111">IF(F69="","",IF(G69&gt;$F$11,"менее "&amp;L69,IF(G69&lt;$F$15,"более "&amp;$B$15*K68,IF(I69*K68&lt;L69,"менее "&amp;L69,I69*K68))))</f>
        <v/>
      </c>
      <c r="N69" s="22">
        <f>VLOOKUP(E68,$T$4:$W$8,3,FALSE)</f>
        <v>19</v>
      </c>
      <c r="O69" s="89"/>
      <c r="P69" s="84"/>
      <c r="Q69" s="87"/>
      <c r="R69" s="45"/>
    </row>
    <row r="70" spans="1:21" ht="15" customHeight="1" x14ac:dyDescent="0.25">
      <c r="A70" s="65">
        <v>20</v>
      </c>
      <c r="B70" s="58"/>
      <c r="C70" s="59"/>
      <c r="D70" s="60"/>
      <c r="E70" s="71" t="s">
        <v>24</v>
      </c>
      <c r="F70" s="50"/>
      <c r="G70" s="14" t="str">
        <f t="shared" si="15"/>
        <v/>
      </c>
      <c r="H70" s="90" t="str">
        <f>IF(OR(F71="",F70=""),"",STDEV(F70:F71)/AVERAGE(F70:F71))</f>
        <v/>
      </c>
      <c r="I70" s="15" t="str">
        <f t="shared" si="3"/>
        <v/>
      </c>
      <c r="J70" s="79" t="str">
        <f>IF(OR(F70="",F71=""),"",IF(OR(G70&gt;$F$11,G71&gt;$F$11),"менее "&amp;$B$11,IF(OR(G70&lt;$F$15,G71&lt;$F$15),"более "&amp;$B$15,AVERAGE(I70:I71))))</f>
        <v/>
      </c>
      <c r="K70" s="81">
        <f>VLOOKUP(E70,$T$3:$W$8,2,FALSE)</f>
        <v>200</v>
      </c>
      <c r="L70" s="51">
        <f t="shared" ref="L70" si="112">VLOOKUP(E70,$T$4:$X$8,5,FALSE)</f>
        <v>20</v>
      </c>
      <c r="M70" s="7" t="str">
        <f t="shared" ref="M70" si="113">IF(F70="","",IF(G70&gt;$F$11,"менее "&amp;L70,IF(G70&lt;$F$15,"более "&amp;$B$15*K70,IF(I70*K70&lt;L70,"менее "&amp;L70,I70*K70))))</f>
        <v/>
      </c>
      <c r="N70" s="21" t="e">
        <f t="shared" ref="N70" si="114">ABS(M70-M71)</f>
        <v>#VALUE!</v>
      </c>
      <c r="O70" s="88" t="str">
        <f>IF(F70="","",IF(0.01*P70*N71&gt;N70,"приемлемо","неприемлемо"))</f>
        <v/>
      </c>
      <c r="P70" s="83" t="str">
        <f t="shared" ref="P70" si="115">IF(OR(M70="",M71=""),"",IF(OR(M70="менее 10",M70="менее 2,5",M70="менее 20",M71="менее 10",M71="менее 2,5",M71="менее 20"),"менее "&amp;L70,IF(OR(G70&lt;$F$15,G71&lt;$F$15),"более "&amp;$B$15*K70,ROUND(AVERAGE(M70:M71),2))))</f>
        <v/>
      </c>
      <c r="Q70" s="86" t="str">
        <f>IF(P70="","",IF(P70="более "&amp;$B$15,"",IF(P70="менее "&amp;$B$11,"",0.01*P70*VLOOKUP(E70,$T$4:$W$8,4,FALSE))))</f>
        <v/>
      </c>
      <c r="R70" s="45"/>
    </row>
    <row r="71" spans="1:21" ht="15" customHeight="1" x14ac:dyDescent="0.25">
      <c r="A71" s="68"/>
      <c r="B71" s="61"/>
      <c r="C71" s="62"/>
      <c r="D71" s="63"/>
      <c r="E71" s="72"/>
      <c r="F71" s="26"/>
      <c r="G71" s="14" t="str">
        <f t="shared" si="15"/>
        <v/>
      </c>
      <c r="H71" s="91" t="str">
        <f>IF(F71=G71,"0,0%",STDEV(F71:G71)/AVERAGE(F71:G71))</f>
        <v>0,0%</v>
      </c>
      <c r="I71" s="15" t="str">
        <f t="shared" si="3"/>
        <v/>
      </c>
      <c r="J71" s="80"/>
      <c r="K71" s="82"/>
      <c r="L71" s="51">
        <f t="shared" ref="L71" si="116">VLOOKUP(E70,$T$4:$X$8,5,FALSE)</f>
        <v>20</v>
      </c>
      <c r="M71" s="7" t="str">
        <f t="shared" ref="M71" si="117">IF(F71="","",IF(G71&gt;$F$11,"менее "&amp;L71,IF(G71&lt;$F$15,"более "&amp;$B$15*K70,IF(I71*K70&lt;L71,"менее "&amp;L71,I71*K70))))</f>
        <v/>
      </c>
      <c r="N71" s="22">
        <f t="shared" ref="N71" si="118">VLOOKUP(E70,$T$4:$W$8,3,FALSE)</f>
        <v>21</v>
      </c>
      <c r="O71" s="89"/>
      <c r="P71" s="92"/>
      <c r="Q71" s="87"/>
      <c r="R71" s="45"/>
      <c r="S71" s="29"/>
      <c r="T71" s="29"/>
      <c r="U71" s="29"/>
    </row>
    <row r="72" spans="1:21" x14ac:dyDescent="0.25">
      <c r="P72" s="29"/>
      <c r="Q72" s="29"/>
      <c r="R72" s="29"/>
      <c r="S72" s="29"/>
    </row>
    <row r="73" spans="1:21" x14ac:dyDescent="0.25">
      <c r="P73" s="29"/>
      <c r="Q73" s="29"/>
      <c r="R73" s="29"/>
      <c r="S73" s="29"/>
    </row>
    <row r="74" spans="1:21" x14ac:dyDescent="0.25">
      <c r="P74" s="29"/>
      <c r="Q74" s="29"/>
      <c r="R74" s="29"/>
      <c r="S74" s="29"/>
    </row>
    <row r="75" spans="1:21" x14ac:dyDescent="0.25">
      <c r="P75" s="29"/>
      <c r="Q75" s="29"/>
      <c r="R75" s="29"/>
      <c r="S75" s="29"/>
    </row>
    <row r="76" spans="1:21" x14ac:dyDescent="0.25">
      <c r="P76" s="29"/>
      <c r="Q76" s="29"/>
      <c r="R76" s="29"/>
      <c r="S76" s="29"/>
    </row>
    <row r="77" spans="1:21" x14ac:dyDescent="0.25">
      <c r="P77" s="29"/>
      <c r="Q77" s="29"/>
      <c r="R77" s="29"/>
    </row>
    <row r="78" spans="1:21" x14ac:dyDescent="0.25">
      <c r="P78" s="29"/>
      <c r="Q78" s="29"/>
      <c r="R78" s="29"/>
      <c r="S78" s="29"/>
    </row>
    <row r="79" spans="1:21" x14ac:dyDescent="0.25">
      <c r="P79" s="29"/>
      <c r="Q79" s="29"/>
      <c r="R79" s="29"/>
      <c r="S79" s="29"/>
    </row>
    <row r="80" spans="1:21" x14ac:dyDescent="0.25">
      <c r="P80" s="29"/>
      <c r="Q80" s="29"/>
      <c r="R80" s="29"/>
      <c r="S80" s="29"/>
    </row>
    <row r="81" spans="16:19" x14ac:dyDescent="0.25">
      <c r="P81" s="29"/>
      <c r="Q81" s="29"/>
      <c r="R81" s="29"/>
      <c r="S81" s="29"/>
    </row>
    <row r="82" spans="16:19" x14ac:dyDescent="0.25">
      <c r="P82" s="29"/>
      <c r="Q82" s="29"/>
      <c r="R82" s="29"/>
      <c r="S82" s="29"/>
    </row>
    <row r="83" spans="16:19" x14ac:dyDescent="0.25">
      <c r="P83" s="29"/>
      <c r="Q83" s="29"/>
      <c r="R83" s="29"/>
      <c r="S83" s="29"/>
    </row>
    <row r="84" spans="16:19" x14ac:dyDescent="0.25">
      <c r="P84" s="29"/>
      <c r="Q84" s="29"/>
      <c r="R84" s="29"/>
      <c r="S84" s="29"/>
    </row>
    <row r="85" spans="16:19" x14ac:dyDescent="0.25">
      <c r="P85" s="29"/>
      <c r="Q85" s="29"/>
      <c r="R85" s="29"/>
      <c r="S85" s="29"/>
    </row>
    <row r="86" spans="16:19" x14ac:dyDescent="0.25">
      <c r="P86" s="29"/>
      <c r="Q86" s="29"/>
      <c r="R86" s="29"/>
      <c r="S86" s="29"/>
    </row>
    <row r="87" spans="16:19" x14ac:dyDescent="0.25">
      <c r="P87" s="29"/>
      <c r="Q87" s="29"/>
      <c r="R87" s="29"/>
      <c r="S87" s="29"/>
    </row>
    <row r="88" spans="16:19" x14ac:dyDescent="0.25">
      <c r="P88" s="29"/>
      <c r="Q88" s="29"/>
      <c r="R88" s="29"/>
      <c r="S88" s="29"/>
    </row>
    <row r="89" spans="16:19" x14ac:dyDescent="0.25">
      <c r="P89" s="29"/>
      <c r="Q89" s="29"/>
      <c r="R89" s="29"/>
      <c r="S89" s="29"/>
    </row>
    <row r="90" spans="16:19" x14ac:dyDescent="0.25">
      <c r="P90" s="29"/>
      <c r="Q90" s="29"/>
      <c r="R90" s="29"/>
      <c r="S90" s="29"/>
    </row>
    <row r="91" spans="16:19" x14ac:dyDescent="0.25">
      <c r="P91" s="29"/>
      <c r="Q91" s="29"/>
      <c r="R91" s="29"/>
      <c r="S91" s="29"/>
    </row>
    <row r="92" spans="16:19" x14ac:dyDescent="0.25">
      <c r="P92" s="29"/>
      <c r="Q92" s="29"/>
      <c r="R92" s="29"/>
      <c r="S92" s="29"/>
    </row>
  </sheetData>
  <mergeCells count="198">
    <mergeCell ref="Q66:Q67"/>
    <mergeCell ref="Q68:Q69"/>
    <mergeCell ref="Q70:Q71"/>
    <mergeCell ref="O32:O33"/>
    <mergeCell ref="O34:O35"/>
    <mergeCell ref="O36:O37"/>
    <mergeCell ref="O38:O39"/>
    <mergeCell ref="O40:O41"/>
    <mergeCell ref="O42:O43"/>
    <mergeCell ref="O44:O45"/>
    <mergeCell ref="Q54:Q55"/>
    <mergeCell ref="Q56:Q57"/>
    <mergeCell ref="Q58:Q59"/>
    <mergeCell ref="Q60:Q61"/>
    <mergeCell ref="Q62:Q63"/>
    <mergeCell ref="Q64:Q65"/>
    <mergeCell ref="Q42:Q43"/>
    <mergeCell ref="Q44:Q45"/>
    <mergeCell ref="Q46:Q47"/>
    <mergeCell ref="Q48:Q49"/>
    <mergeCell ref="Q50:Q51"/>
    <mergeCell ref="Q52:Q53"/>
    <mergeCell ref="O60:O61"/>
    <mergeCell ref="O62:O63"/>
    <mergeCell ref="Q34:Q35"/>
    <mergeCell ref="Q36:Q37"/>
    <mergeCell ref="Q38:Q39"/>
    <mergeCell ref="Q40:Q41"/>
    <mergeCell ref="B1:G1"/>
    <mergeCell ref="A3:B3"/>
    <mergeCell ref="A4:B4"/>
    <mergeCell ref="A5:B5"/>
    <mergeCell ref="A6:B6"/>
    <mergeCell ref="A40:A41"/>
    <mergeCell ref="H40:H41"/>
    <mergeCell ref="J40:J41"/>
    <mergeCell ref="K40:K41"/>
    <mergeCell ref="P40:P41"/>
    <mergeCell ref="E38:E39"/>
    <mergeCell ref="E40:E41"/>
    <mergeCell ref="A38:A39"/>
    <mergeCell ref="C25:Q25"/>
    <mergeCell ref="C26:Q26"/>
    <mergeCell ref="C27:Q27"/>
    <mergeCell ref="H38:H39"/>
    <mergeCell ref="J38:J39"/>
    <mergeCell ref="A34:A35"/>
    <mergeCell ref="H34:H35"/>
    <mergeCell ref="A70:A71"/>
    <mergeCell ref="H70:H71"/>
    <mergeCell ref="J70:J71"/>
    <mergeCell ref="K70:K71"/>
    <mergeCell ref="P70:P71"/>
    <mergeCell ref="E70:E71"/>
    <mergeCell ref="A68:A69"/>
    <mergeCell ref="H68:H69"/>
    <mergeCell ref="J68:J69"/>
    <mergeCell ref="K68:K69"/>
    <mergeCell ref="P68:P69"/>
    <mergeCell ref="B70:D71"/>
    <mergeCell ref="O68:O69"/>
    <mergeCell ref="O70:O71"/>
    <mergeCell ref="E66:E67"/>
    <mergeCell ref="E68:E69"/>
    <mergeCell ref="A66:A67"/>
    <mergeCell ref="H66:H67"/>
    <mergeCell ref="J66:J67"/>
    <mergeCell ref="K66:K67"/>
    <mergeCell ref="P66:P67"/>
    <mergeCell ref="A64:A65"/>
    <mergeCell ref="H64:H65"/>
    <mergeCell ref="J64:J65"/>
    <mergeCell ref="K64:K65"/>
    <mergeCell ref="P64:P65"/>
    <mergeCell ref="B66:D67"/>
    <mergeCell ref="B68:D69"/>
    <mergeCell ref="O64:O65"/>
    <mergeCell ref="O66:O67"/>
    <mergeCell ref="E62:E63"/>
    <mergeCell ref="E64:E65"/>
    <mergeCell ref="A62:A63"/>
    <mergeCell ref="H62:H63"/>
    <mergeCell ref="J62:J63"/>
    <mergeCell ref="K62:K63"/>
    <mergeCell ref="P62:P63"/>
    <mergeCell ref="A60:A61"/>
    <mergeCell ref="H60:H61"/>
    <mergeCell ref="J60:J61"/>
    <mergeCell ref="K60:K61"/>
    <mergeCell ref="P60:P61"/>
    <mergeCell ref="B62:D63"/>
    <mergeCell ref="B64:D65"/>
    <mergeCell ref="E58:E59"/>
    <mergeCell ref="E60:E61"/>
    <mergeCell ref="A58:A59"/>
    <mergeCell ref="H58:H59"/>
    <mergeCell ref="J58:J59"/>
    <mergeCell ref="K58:K59"/>
    <mergeCell ref="P58:P59"/>
    <mergeCell ref="A56:A57"/>
    <mergeCell ref="H56:H57"/>
    <mergeCell ref="J56:J57"/>
    <mergeCell ref="K56:K57"/>
    <mergeCell ref="P56:P57"/>
    <mergeCell ref="B58:D59"/>
    <mergeCell ref="B60:D61"/>
    <mergeCell ref="O56:O57"/>
    <mergeCell ref="O58:O59"/>
    <mergeCell ref="E54:E55"/>
    <mergeCell ref="E56:E57"/>
    <mergeCell ref="A54:A55"/>
    <mergeCell ref="H54:H55"/>
    <mergeCell ref="J54:J55"/>
    <mergeCell ref="K54:K55"/>
    <mergeCell ref="P54:P55"/>
    <mergeCell ref="A52:A53"/>
    <mergeCell ref="H52:H53"/>
    <mergeCell ref="J52:J53"/>
    <mergeCell ref="K52:K53"/>
    <mergeCell ref="P52:P53"/>
    <mergeCell ref="O52:O53"/>
    <mergeCell ref="O54:O55"/>
    <mergeCell ref="E52:E53"/>
    <mergeCell ref="E46:E47"/>
    <mergeCell ref="E48:E49"/>
    <mergeCell ref="A46:A47"/>
    <mergeCell ref="H46:H47"/>
    <mergeCell ref="J46:J47"/>
    <mergeCell ref="K46:K47"/>
    <mergeCell ref="P46:P47"/>
    <mergeCell ref="O46:O47"/>
    <mergeCell ref="E50:E51"/>
    <mergeCell ref="A50:A51"/>
    <mergeCell ref="H50:H51"/>
    <mergeCell ref="J50:J51"/>
    <mergeCell ref="K50:K51"/>
    <mergeCell ref="P50:P51"/>
    <mergeCell ref="A48:A49"/>
    <mergeCell ref="H48:H49"/>
    <mergeCell ref="J48:J49"/>
    <mergeCell ref="K48:K49"/>
    <mergeCell ref="P48:P49"/>
    <mergeCell ref="O48:O49"/>
    <mergeCell ref="O50:O51"/>
    <mergeCell ref="A44:A45"/>
    <mergeCell ref="H44:H45"/>
    <mergeCell ref="J44:J45"/>
    <mergeCell ref="K44:K45"/>
    <mergeCell ref="P44:P45"/>
    <mergeCell ref="E42:E43"/>
    <mergeCell ref="E44:E45"/>
    <mergeCell ref="A42:A43"/>
    <mergeCell ref="H42:H43"/>
    <mergeCell ref="J42:J43"/>
    <mergeCell ref="K42:K43"/>
    <mergeCell ref="P42:P43"/>
    <mergeCell ref="J34:J35"/>
    <mergeCell ref="K34:K35"/>
    <mergeCell ref="P34:P35"/>
    <mergeCell ref="B34:D35"/>
    <mergeCell ref="K38:K39"/>
    <mergeCell ref="P38:P39"/>
    <mergeCell ref="A36:A37"/>
    <mergeCell ref="H36:H37"/>
    <mergeCell ref="J36:J37"/>
    <mergeCell ref="K36:K37"/>
    <mergeCell ref="P36:P37"/>
    <mergeCell ref="B38:D39"/>
    <mergeCell ref="E34:E35"/>
    <mergeCell ref="E36:E37"/>
    <mergeCell ref="B36:D37"/>
    <mergeCell ref="A9:C9"/>
    <mergeCell ref="D9:E9"/>
    <mergeCell ref="A32:A33"/>
    <mergeCell ref="H32:H33"/>
    <mergeCell ref="E32:E33"/>
    <mergeCell ref="C3:G3"/>
    <mergeCell ref="C4:G4"/>
    <mergeCell ref="C5:G5"/>
    <mergeCell ref="C6:G6"/>
    <mergeCell ref="B31:D31"/>
    <mergeCell ref="B32:D33"/>
    <mergeCell ref="C28:Q28"/>
    <mergeCell ref="C29:Q29"/>
    <mergeCell ref="J32:J33"/>
    <mergeCell ref="K32:K33"/>
    <mergeCell ref="P32:P33"/>
    <mergeCell ref="P31:Q31"/>
    <mergeCell ref="Q32:Q33"/>
    <mergeCell ref="B40:D41"/>
    <mergeCell ref="B42:D43"/>
    <mergeCell ref="B44:D45"/>
    <mergeCell ref="B46:D47"/>
    <mergeCell ref="B48:D49"/>
    <mergeCell ref="B50:D51"/>
    <mergeCell ref="B52:D53"/>
    <mergeCell ref="B54:D55"/>
    <mergeCell ref="B56:D57"/>
  </mergeCells>
  <phoneticPr fontId="8" type="noConversion"/>
  <dataValidations count="1">
    <dataValidation type="list" allowBlank="1" showInputMessage="1" showErrorMessage="1" sqref="E32:E71" xr:uid="{BA355A3E-794C-4711-A5AD-29A2B31E5CD0}">
      <formula1>$T$4:$T$8</formula1>
    </dataValidation>
  </dataValidations>
  <pageMargins left="0.70866141732283472" right="0.70866141732283472" top="0.31496062992125984" bottom="0.31496062992125984" header="0.31496062992125984" footer="0.31496062992125984"/>
  <pageSetup paperSize="9" scale="53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Матрицы I-VI 2_2</vt:lpstr>
      <vt:lpstr>'Матрицы I-VI 2_2'!_Hlk158296070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2024-07-22T09:42:54Z</cp:lastPrinted>
  <dcterms:created xsi:type="dcterms:W3CDTF">2024-07-19T12:20:29Z</dcterms:created>
  <dcterms:modified xsi:type="dcterms:W3CDTF">2024-12-27T12:14:50Z</dcterms:modified>
</cp:coreProperties>
</file>